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350" yWindow="-45" windowWidth="9255" windowHeight="7455" tabRatio="887" activeTab="7"/>
  </bookViews>
  <sheets>
    <sheet name="100 PC HC Detailed " sheetId="97" r:id="rId1"/>
    <sheet name="SUMP DESIGN " sheetId="99" r:id="rId2"/>
    <sheet name="SUMP" sheetId="100" r:id="rId3"/>
    <sheet name="CCR" sheetId="102" r:id="rId4"/>
    <sheet name="Genset" sheetId="105" r:id="rId5"/>
    <sheet name="LIFT" sheetId="103" r:id="rId6"/>
    <sheet name="Lighting arrestor" sheetId="106" r:id="rId7"/>
    <sheet name="Bore well " sheetId="107" r:id="rId8"/>
  </sheets>
  <externalReferences>
    <externalReference r:id="rId9"/>
    <externalReference r:id="rId10"/>
    <externalReference r:id="rId11"/>
  </externalReferences>
  <definedNames>
    <definedName name="_______RCC115">[1]Spec!$B$12</definedName>
    <definedName name="_____RCC115">[1]Spec!$B$12</definedName>
    <definedName name="____A65539" localSheetId="5">#REF!</definedName>
    <definedName name="____A65539">#REF!</definedName>
    <definedName name="___A65539" localSheetId="5">#REF!</definedName>
    <definedName name="___A65539">#REF!</definedName>
    <definedName name="__A65539" localSheetId="5">#REF!</definedName>
    <definedName name="__A65539">#REF!</definedName>
    <definedName name="_A65539" localSheetId="5">#REF!</definedName>
    <definedName name="_A65539">#REF!</definedName>
    <definedName name="_Fill" localSheetId="5" hidden="1">#REF!</definedName>
    <definedName name="_Fill" hidden="1">#REF!</definedName>
    <definedName name="_m" localSheetId="5">#REF!</definedName>
    <definedName name="a" localSheetId="5">#REF!</definedName>
    <definedName name="a">#REF!</definedName>
    <definedName name="a3424\" localSheetId="5">#REF!</definedName>
    <definedName name="a3424\">#REF!</definedName>
    <definedName name="aa" localSheetId="5">#REF!</definedName>
    <definedName name="Abs" localSheetId="5">#REF!</definedName>
    <definedName name="ahfk" localSheetId="5">#REF!</definedName>
    <definedName name="ahfk">#REF!</definedName>
    <definedName name="ahh" localSheetId="5">#REF!</definedName>
    <definedName name="ahh">#REF!</definedName>
    <definedName name="anbu\" localSheetId="5">#REF!</definedName>
    <definedName name="ass" localSheetId="5">#REF!</definedName>
    <definedName name="ass">#REF!</definedName>
    <definedName name="Beg_Bal" localSheetId="5">#REF!</definedName>
    <definedName name="Beg_Bal">#REF!</definedName>
    <definedName name="Buildingevelopment." localSheetId="5">#REF!</definedName>
    <definedName name="c.data" localSheetId="5">#REF!</definedName>
    <definedName name="c.data">#REF!</definedName>
    <definedName name="c641." localSheetId="5">#REF!</definedName>
    <definedName name="c641.">#REF!</definedName>
    <definedName name="dasd" localSheetId="5">#REF!</definedName>
    <definedName name="dasd">#REF!</definedName>
    <definedName name="Data" localSheetId="5">#REF!</definedName>
    <definedName name="Data">#REF!</definedName>
    <definedName name="dd" localSheetId="5">#REF!</definedName>
    <definedName name="dd">#REF!</definedName>
    <definedName name="Details_furnished_by_the__CE__TNPHC_to_DIG" localSheetId="5">#REF!</definedName>
    <definedName name="Details_furnished_by_the__CE__TNPHC_to_DIG">#REF!</definedName>
    <definedName name="detpada" localSheetId="5">#REF!</definedName>
    <definedName name="detpada">#REF!</definedName>
    <definedName name="df" localSheetId="5">#REF!</definedName>
    <definedName name="df">#REF!</definedName>
    <definedName name="electri" localSheetId="5">#REF!</definedName>
    <definedName name="electri">#REF!</definedName>
    <definedName name="End_Bal" localSheetId="0">#REF!</definedName>
    <definedName name="End_Bal" localSheetId="5">#REF!</definedName>
    <definedName name="End_Bal">#REF!</definedName>
    <definedName name="er" localSheetId="5">#REF!</definedName>
    <definedName name="er">#REF!</definedName>
    <definedName name="Extra_Pay" localSheetId="5">#REF!</definedName>
    <definedName name="Extra_Pay">#REF!</definedName>
    <definedName name="fhd" localSheetId="5">#REF!</definedName>
    <definedName name="fhd">#REF!</definedName>
    <definedName name="Full_Print" localSheetId="0">#REF!</definedName>
    <definedName name="Full_Print" localSheetId="5">#REF!</definedName>
    <definedName name="Full_Print">#REF!</definedName>
    <definedName name="Header_Row">ROW(#REF!)</definedName>
    <definedName name="hha" localSheetId="5">#REF!</definedName>
    <definedName name="hha">#REF!</definedName>
    <definedName name="hia" localSheetId="5">#REF!</definedName>
    <definedName name="hia">#REF!</definedName>
    <definedName name="hj" localSheetId="5">#REF!</definedName>
    <definedName name="hj">#REF!</definedName>
    <definedName name="i" localSheetId="5">#REF!</definedName>
    <definedName name="i">#REF!</definedName>
    <definedName name="ins" localSheetId="5">#REF!</definedName>
    <definedName name="ins">#REF!</definedName>
    <definedName name="insp" localSheetId="5">#REF!</definedName>
    <definedName name="insp">#REF!</definedName>
    <definedName name="Int" localSheetId="5">#REF!</definedName>
    <definedName name="Int">#REF!</definedName>
    <definedName name="Interest_Rate" localSheetId="0">#REF!</definedName>
    <definedName name="Interest_Rate" localSheetId="5">#REF!</definedName>
    <definedName name="Interest_Rate">#REF!</definedName>
    <definedName name="Junior_Engineer" localSheetId="5">#REF!</definedName>
    <definedName name="k404." localSheetId="5">#REF!</definedName>
    <definedName name="k404.">#REF!</definedName>
    <definedName name="kasper" localSheetId="5">#REF!</definedName>
    <definedName name="kasper">#REF!</definedName>
    <definedName name="Last_Row">#N/A</definedName>
    <definedName name="Loan_Amount" localSheetId="0">#REF!</definedName>
    <definedName name="Loan_Amount" localSheetId="5">#REF!</definedName>
    <definedName name="Loan_Amount">#REF!</definedName>
    <definedName name="Loan_Start" localSheetId="0">#REF!</definedName>
    <definedName name="Loan_Start" localSheetId="5">#REF!</definedName>
    <definedName name="Loan_Start">#REF!</definedName>
    <definedName name="Loan_Years" localSheetId="0">#REF!</definedName>
    <definedName name="Loan_Years" localSheetId="5">#REF!</definedName>
    <definedName name="Loan_Years">#REF!</definedName>
    <definedName name="Num_Pmt_Per_Year" localSheetId="5">#REF!</definedName>
    <definedName name="Num_Pmt_Per_Year">#REF!</definedName>
    <definedName name="Number_of_Payments" localSheetId="5">MATCH(0.01,LIFT!End_Bal,-1)+1</definedName>
    <definedName name="Number_of_Payments">MATCH(0.01,'100 PC HC Detailed '!End_Bal,-1)+1</definedName>
    <definedName name="P" localSheetId="5">#REF!</definedName>
    <definedName name="Pay_Date" localSheetId="5">#REF!</definedName>
    <definedName name="Pay_Date">#REF!</definedName>
    <definedName name="Pay_Num" localSheetId="5">#REF!</definedName>
    <definedName name="Pay_Num">#REF!</definedName>
    <definedName name="payment" localSheetId="5">#REF!</definedName>
    <definedName name="payment">#REF!</definedName>
    <definedName name="Payment_Date" localSheetId="5">DATE(YEAR(LIFT!Loan_Start),MONTH(LIFT!Loan_Start)+Payment_Number,DAY(LIFT!Loan_Start))</definedName>
    <definedName name="Payment_Date">DATE(YEAR('100 PC HC Detailed '!Loan_Start),MONTH('100 PC HC Detailed '!Loan_Start)+Payment_Number,DAY('100 PC HC Detailed '!Loan_Start))</definedName>
    <definedName name="pc" localSheetId="5">#REF!</definedName>
    <definedName name="pc">#REF!</definedName>
    <definedName name="pri" localSheetId="5">#REF!</definedName>
    <definedName name="PRIN_TITLES_MI" localSheetId="5">#REF!</definedName>
    <definedName name="Princ" localSheetId="5">#REF!</definedName>
    <definedName name="Princ">#REF!</definedName>
    <definedName name="print" localSheetId="5">#REF!</definedName>
    <definedName name="print">#REF!</definedName>
    <definedName name="PRINT_ARE" localSheetId="5">#REF!</definedName>
    <definedName name="_xlnm.Print_Area" localSheetId="0">'100 PC HC Detailed '!$A$1:$J$3701</definedName>
    <definedName name="_xlnm.Print_Area" localSheetId="5">LIFT!$A$1:$N$63</definedName>
    <definedName name="_xlnm.Print_Area">#REF!</definedName>
    <definedName name="PRINT_AREA_" localSheetId="5">#REF!</definedName>
    <definedName name="PRINT_AREA_M" localSheetId="5">#REF!</definedName>
    <definedName name="PRINT_AREA_MI" localSheetId="0">#REF!</definedName>
    <definedName name="PRINT_AREA_MI" localSheetId="5">#REF!</definedName>
    <definedName name="PRINT_AREA_MI">#REF!</definedName>
    <definedName name="Print_Area_Reset" localSheetId="5">OFFSET(LIFT!Full_Print,0,0,Last_Row)</definedName>
    <definedName name="Print_Area_Reset">OFFSET('100 PC HC Detailed '!Full_Print,0,0,Last_Row)</definedName>
    <definedName name="Print_T" localSheetId="5">#REF!</definedName>
    <definedName name="Print_Tit" localSheetId="5">#REF!</definedName>
    <definedName name="Print_Titl" localSheetId="5">#REF!</definedName>
    <definedName name="Print_Title" localSheetId="5">#REF!</definedName>
    <definedName name="_xlnm.Print_Titles" localSheetId="0">'100 PC HC Detailed '!$5:$6</definedName>
    <definedName name="_xlnm.Print_Titles" localSheetId="5">LIFT!$5:$6</definedName>
    <definedName name="_xlnm.Print_Titles">#REF!</definedName>
    <definedName name="PRINT_TITLES_MI" localSheetId="0">#REF!</definedName>
    <definedName name="PRINT_TITLES_MI" localSheetId="5">#REF!</definedName>
    <definedName name="PRINT_TITLES_MI">#REF!</definedName>
    <definedName name="Print_titlesnew" localSheetId="5">#REF!</definedName>
    <definedName name="printarea1" localSheetId="5">#REF!</definedName>
    <definedName name="ps_app" localSheetId="5">#REF!</definedName>
    <definedName name="ps_app">#REF!</definedName>
    <definedName name="ps_est" localSheetId="5">#REF!</definedName>
    <definedName name="ps_est">#REF!</definedName>
    <definedName name="ps_max" localSheetId="5">#REF!</definedName>
    <definedName name="ps_max">#REF!</definedName>
    <definedName name="ps_paid" localSheetId="5">#REF!</definedName>
    <definedName name="ps_paid">#REF!</definedName>
    <definedName name="ps_quo" localSheetId="5">#REF!</definedName>
    <definedName name="ps_quo">#REF!</definedName>
    <definedName name="ps_rec" localSheetId="5">#REF!</definedName>
    <definedName name="ps_rec">#REF!</definedName>
    <definedName name="QQE" localSheetId="5">#REF!</definedName>
    <definedName name="QQE">#REF!</definedName>
    <definedName name="QWE" localSheetId="5">#REF!</definedName>
    <definedName name="QWE">#REF!</definedName>
    <definedName name="red" localSheetId="5">#REF!</definedName>
    <definedName name="roya" localSheetId="5">#REF!</definedName>
    <definedName name="roya">#REF!</definedName>
    <definedName name="S" localSheetId="5">#REF!</definedName>
    <definedName name="Sched_Pay" localSheetId="5">#REF!</definedName>
    <definedName name="Sched_Pay">#REF!</definedName>
    <definedName name="Scheduled_Extra_Payments" localSheetId="5">#REF!</definedName>
    <definedName name="Scheduled_Extra_Payments">#REF!</definedName>
    <definedName name="Scheduled_Interest_Rate" localSheetId="5">#REF!</definedName>
    <definedName name="Scheduled_Interest_Rate">#REF!</definedName>
    <definedName name="Scheduled_Monthly_Payment" localSheetId="5">#REF!</definedName>
    <definedName name="Scheduled_Monthly_Payment">#REF!</definedName>
    <definedName name="sheet" localSheetId="5">#REF!</definedName>
    <definedName name="sheet">#REF!</definedName>
    <definedName name="SI" localSheetId="5">#REF!</definedName>
    <definedName name="SI">#REF!</definedName>
    <definedName name="ssdde" localSheetId="5">#REF!</definedName>
    <definedName name="sss" localSheetId="5">#REF!</definedName>
    <definedName name="sss">#REF!</definedName>
    <definedName name="sump" localSheetId="5">#REF!</definedName>
    <definedName name="sump">#REF!</definedName>
    <definedName name="Total_Interest" localSheetId="5">#REF!</definedName>
    <definedName name="Total_Interest">#REF!</definedName>
    <definedName name="Total_Pay" localSheetId="5">#REF!</definedName>
    <definedName name="Total_Pay">#REF!</definedName>
    <definedName name="Total_Payment" localSheetId="5">Scheduled_Payment+Extra_Payment</definedName>
    <definedName name="Total_Payment">Scheduled_Payment+Extra_Payment</definedName>
    <definedName name="v_app" localSheetId="5">#REF!</definedName>
    <definedName name="v_app">#REF!</definedName>
    <definedName name="v_est" localSheetId="5">#REF!</definedName>
    <definedName name="v_est">#REF!</definedName>
    <definedName name="v_paid" localSheetId="5">#REF!</definedName>
    <definedName name="v_paid">#REF!</definedName>
    <definedName name="v_quo" localSheetId="5">#REF!</definedName>
    <definedName name="v_quo">#REF!</definedName>
    <definedName name="v_rec" localSheetId="5">#REF!</definedName>
    <definedName name="v_rec">#REF!</definedName>
    <definedName name="v_tot" localSheetId="5">#REF!</definedName>
    <definedName name="v_tot">#REF!</definedName>
    <definedName name="Values_Entered" localSheetId="5">IF(LIFT!Loan_Amount*LIFT!Interest_Rate*LIFT!Loan_Years*LIFT!Loan_Start&gt;0,1,0)</definedName>
    <definedName name="Values_Entered">IF('100 PC HC Detailed '!Loan_Amount*'100 PC HC Detailed '!Interest_Rate*'100 PC HC Detailed '!Loan_Years*'100 PC HC Detailed '!Loan_Start&gt;0,1,0)</definedName>
    <definedName name="Vambay_8">[2]Data!$X$195:$AD$249,[2]Data!$X$251:$AD$357,[2]Data!$X$358:$AD$361,[2]Data!$X$362:$AD$374,[2]Data!$X$376:$AD$398,[2]Data!$X$399:$AD$456,[2]Data!$X$459:$AD$460</definedName>
    <definedName name="vignesh" localSheetId="5">#REF!</definedName>
    <definedName name="vignesh">#REF!</definedName>
    <definedName name="w" localSheetId="5">#REF!</definedName>
    <definedName name="w">#REF!</definedName>
    <definedName name="xgjhvfxfhkl" localSheetId="5">#REF!</definedName>
    <definedName name="xgjhvfxfhkl">#REF!</definedName>
  </definedNames>
  <calcPr calcId="125725" fullPrecision="0"/>
</workbook>
</file>

<file path=xl/calcChain.xml><?xml version="1.0" encoding="utf-8"?>
<calcChain xmlns="http://schemas.openxmlformats.org/spreadsheetml/2006/main">
  <c r="I1807" i="97"/>
  <c r="I1806"/>
  <c r="I880"/>
  <c r="I881" s="1"/>
  <c r="I1307"/>
  <c r="I1306"/>
  <c r="I1305"/>
  <c r="I1304"/>
  <c r="I1303"/>
  <c r="I1302"/>
  <c r="I1301"/>
  <c r="I1300"/>
  <c r="I1299"/>
  <c r="I1298"/>
  <c r="F1296"/>
  <c r="I1296" s="1"/>
  <c r="F1295"/>
  <c r="I1295" s="1"/>
  <c r="I1294"/>
  <c r="I1293"/>
  <c r="I1292"/>
  <c r="I1291"/>
  <c r="I1290"/>
  <c r="I1289"/>
  <c r="I1288"/>
  <c r="I1287"/>
  <c r="I1286"/>
  <c r="I1285"/>
  <c r="I1284"/>
  <c r="I1283"/>
  <c r="I1282"/>
  <c r="I1281"/>
  <c r="I1280"/>
  <c r="I1279"/>
  <c r="I1278"/>
  <c r="I1167" l="1"/>
  <c r="I1166"/>
  <c r="I1165"/>
  <c r="I1168" s="1"/>
  <c r="I1169" s="1"/>
  <c r="I3553"/>
  <c r="I3549"/>
  <c r="I3548"/>
  <c r="I3546"/>
  <c r="I3545"/>
  <c r="I3543"/>
  <c r="I3541"/>
  <c r="I3540"/>
  <c r="I3539"/>
  <c r="I3538"/>
  <c r="I3537"/>
  <c r="I3535"/>
  <c r="I3534"/>
  <c r="I3533"/>
  <c r="I3530"/>
  <c r="I3529"/>
  <c r="I3528"/>
  <c r="I3527"/>
  <c r="I3526"/>
  <c r="I3469"/>
  <c r="I3468"/>
  <c r="I3467"/>
  <c r="I1108"/>
  <c r="I1106"/>
  <c r="I1105"/>
  <c r="I1104"/>
  <c r="I1103"/>
  <c r="I1102"/>
  <c r="I1101"/>
  <c r="I1099"/>
  <c r="I1098"/>
  <c r="I1097"/>
  <c r="I1096"/>
  <c r="I1095"/>
  <c r="I3550" l="1"/>
  <c r="I3551" s="1"/>
  <c r="I3689" l="1"/>
  <c r="I2870"/>
  <c r="I2873"/>
  <c r="I2869"/>
  <c r="I2871" s="1"/>
  <c r="I2890"/>
  <c r="I3584"/>
  <c r="I2891" l="1"/>
  <c r="I1781"/>
  <c r="I1780"/>
  <c r="I1779"/>
  <c r="I1778"/>
  <c r="I1776"/>
  <c r="I1775"/>
  <c r="I1774"/>
  <c r="I1773"/>
  <c r="I3570"/>
  <c r="I3477"/>
  <c r="I3484"/>
  <c r="I3483"/>
  <c r="I3428"/>
  <c r="I3427"/>
  <c r="I3386"/>
  <c r="I3385"/>
  <c r="I3384"/>
  <c r="I3383"/>
  <c r="I3382"/>
  <c r="I3381"/>
  <c r="I3379"/>
  <c r="I3378"/>
  <c r="I3377"/>
  <c r="I3376"/>
  <c r="I3375"/>
  <c r="I3374"/>
  <c r="I3373"/>
  <c r="I3372"/>
  <c r="I2937"/>
  <c r="I2936"/>
  <c r="I2934"/>
  <c r="I2933"/>
  <c r="I2930"/>
  <c r="I2929"/>
  <c r="I2927"/>
  <c r="I2925"/>
  <c r="I2923"/>
  <c r="I2922"/>
  <c r="I2948"/>
  <c r="I2947"/>
  <c r="I2945"/>
  <c r="I2943"/>
  <c r="I2942"/>
  <c r="I2735"/>
  <c r="I2734"/>
  <c r="I2732"/>
  <c r="I2731"/>
  <c r="I2730"/>
  <c r="I2729"/>
  <c r="I2728"/>
  <c r="I2727"/>
  <c r="I2726"/>
  <c r="I2725"/>
  <c r="I2724"/>
  <c r="I2723"/>
  <c r="I2721"/>
  <c r="I2720"/>
  <c r="I2719"/>
  <c r="I2718"/>
  <c r="I2717"/>
  <c r="I2716"/>
  <c r="I2714"/>
  <c r="I2713"/>
  <c r="I2712"/>
  <c r="I2711"/>
  <c r="I2709"/>
  <c r="I2708"/>
  <c r="I2707"/>
  <c r="I2706"/>
  <c r="I2705"/>
  <c r="I2704"/>
  <c r="I2703"/>
  <c r="I2702"/>
  <c r="I2700"/>
  <c r="I2699"/>
  <c r="I2698"/>
  <c r="I2697"/>
  <c r="I2696"/>
  <c r="I2695"/>
  <c r="I2693"/>
  <c r="I2692"/>
  <c r="I2691"/>
  <c r="I2690"/>
  <c r="I2688"/>
  <c r="I2687"/>
  <c r="I2686"/>
  <c r="I2685"/>
  <c r="I2683"/>
  <c r="I2681"/>
  <c r="I2679"/>
  <c r="I2678"/>
  <c r="I2677"/>
  <c r="I2676"/>
  <c r="I2675"/>
  <c r="I2674"/>
  <c r="I2673"/>
  <c r="I2672"/>
  <c r="I2671"/>
  <c r="I2670"/>
  <c r="I2669"/>
  <c r="I2668"/>
  <c r="I2667"/>
  <c r="I2666"/>
  <c r="I2665"/>
  <c r="I2664"/>
  <c r="I2663"/>
  <c r="I2662"/>
  <c r="I2661"/>
  <c r="I2660"/>
  <c r="I2657"/>
  <c r="I2656"/>
  <c r="I2655"/>
  <c r="I2654"/>
  <c r="I2653"/>
  <c r="I2652"/>
  <c r="I2651"/>
  <c r="I2650"/>
  <c r="I2649"/>
  <c r="I2647"/>
  <c r="I2646"/>
  <c r="I2645"/>
  <c r="I2644"/>
  <c r="I2643"/>
  <c r="I2642"/>
  <c r="I2641"/>
  <c r="I2640"/>
  <c r="I2639"/>
  <c r="I2638"/>
  <c r="I2637"/>
  <c r="I2636"/>
  <c r="I2635"/>
  <c r="I2634"/>
  <c r="I2633"/>
  <c r="I2632"/>
  <c r="I2631"/>
  <c r="I2629"/>
  <c r="I2628"/>
  <c r="I2627"/>
  <c r="I2626"/>
  <c r="I2625"/>
  <c r="I2624"/>
  <c r="I2623"/>
  <c r="I2622"/>
  <c r="I2621"/>
  <c r="I2620"/>
  <c r="I2619"/>
  <c r="I2618"/>
  <c r="I2617"/>
  <c r="I2615"/>
  <c r="I2614"/>
  <c r="I2613"/>
  <c r="I2612"/>
  <c r="I2611"/>
  <c r="I2610"/>
  <c r="I2609"/>
  <c r="I2608"/>
  <c r="I2607"/>
  <c r="I2606"/>
  <c r="I2605"/>
  <c r="I2604"/>
  <c r="I2603"/>
  <c r="I2602"/>
  <c r="I2601"/>
  <c r="I2599"/>
  <c r="I2597"/>
  <c r="I2596"/>
  <c r="I2595"/>
  <c r="I2594"/>
  <c r="I2593"/>
  <c r="I2592"/>
  <c r="I2591"/>
  <c r="I2589"/>
  <c r="I2587"/>
  <c r="I2586"/>
  <c r="I2585"/>
  <c r="I2584"/>
  <c r="I2583"/>
  <c r="I2582"/>
  <c r="I2581"/>
  <c r="I2579"/>
  <c r="I2578"/>
  <c r="I2577"/>
  <c r="I2576"/>
  <c r="I2575"/>
  <c r="I2574"/>
  <c r="I2573"/>
  <c r="I2572"/>
  <c r="I2571"/>
  <c r="I2570"/>
  <c r="I2569"/>
  <c r="I2568"/>
  <c r="I2567"/>
  <c r="I2566"/>
  <c r="I2565"/>
  <c r="I2564"/>
  <c r="I2563"/>
  <c r="I2562"/>
  <c r="I2561"/>
  <c r="I2560"/>
  <c r="I2559"/>
  <c r="I2558"/>
  <c r="I2557"/>
  <c r="I2555"/>
  <c r="I2554"/>
  <c r="I2553"/>
  <c r="I2552"/>
  <c r="I2551"/>
  <c r="I2550"/>
  <c r="I2549"/>
  <c r="I2548"/>
  <c r="I2547"/>
  <c r="I2546"/>
  <c r="I2545"/>
  <c r="I2544"/>
  <c r="I2543"/>
  <c r="I2542"/>
  <c r="I2541"/>
  <c r="I2540"/>
  <c r="I2539"/>
  <c r="I2538"/>
  <c r="I2537"/>
  <c r="I2536"/>
  <c r="I2535"/>
  <c r="I2534"/>
  <c r="I2533"/>
  <c r="I2532"/>
  <c r="I2531"/>
  <c r="I2529"/>
  <c r="I2528"/>
  <c r="I2527"/>
  <c r="I2526"/>
  <c r="I2525"/>
  <c r="I2524"/>
  <c r="I2523"/>
  <c r="I2522"/>
  <c r="I2521"/>
  <c r="I2520"/>
  <c r="I2519"/>
  <c r="I2518"/>
  <c r="I2517"/>
  <c r="I2516"/>
  <c r="I2515"/>
  <c r="I2514"/>
  <c r="I2513"/>
  <c r="I2510"/>
  <c r="I2509"/>
  <c r="I2508"/>
  <c r="I2507"/>
  <c r="I2506"/>
  <c r="I2505"/>
  <c r="I2504"/>
  <c r="I2503"/>
  <c r="I2502"/>
  <c r="I2500"/>
  <c r="I2499"/>
  <c r="I2498"/>
  <c r="I2497"/>
  <c r="I2496"/>
  <c r="I2495"/>
  <c r="I2494"/>
  <c r="I2493"/>
  <c r="I2492"/>
  <c r="I2491"/>
  <c r="I2490"/>
  <c r="I2489"/>
  <c r="I2488"/>
  <c r="I2487"/>
  <c r="I2486"/>
  <c r="I2485"/>
  <c r="I2483"/>
  <c r="I2482"/>
  <c r="I2481"/>
  <c r="I2480"/>
  <c r="I2479"/>
  <c r="I2478"/>
  <c r="I2477"/>
  <c r="I2476"/>
  <c r="I2475"/>
  <c r="I2474"/>
  <c r="I2473"/>
  <c r="I2472"/>
  <c r="I2471"/>
  <c r="I2470"/>
  <c r="I2469"/>
  <c r="I2468"/>
  <c r="I2466"/>
  <c r="I2465"/>
  <c r="I2464"/>
  <c r="I2463"/>
  <c r="I2462"/>
  <c r="I2461"/>
  <c r="I2460"/>
  <c r="I2459"/>
  <c r="I2458"/>
  <c r="I2457"/>
  <c r="I2456"/>
  <c r="I2455"/>
  <c r="I2454"/>
  <c r="I2453"/>
  <c r="I2452"/>
  <c r="I2450"/>
  <c r="I2448"/>
  <c r="I2447"/>
  <c r="I2446"/>
  <c r="I2445"/>
  <c r="I2444"/>
  <c r="I2443"/>
  <c r="I2442"/>
  <c r="I2440"/>
  <c r="I2438"/>
  <c r="I2437"/>
  <c r="I2436"/>
  <c r="I2435"/>
  <c r="I2434"/>
  <c r="I2433"/>
  <c r="I2432"/>
  <c r="I2430"/>
  <c r="I2429"/>
  <c r="I2428"/>
  <c r="I2427"/>
  <c r="I2426"/>
  <c r="I2425"/>
  <c r="I2424"/>
  <c r="I2423"/>
  <c r="I2422"/>
  <c r="I2421"/>
  <c r="I2420"/>
  <c r="I2419"/>
  <c r="I2418"/>
  <c r="I2417"/>
  <c r="I2416"/>
  <c r="I2415"/>
  <c r="I2414"/>
  <c r="I2413"/>
  <c r="I2412"/>
  <c r="I2411"/>
  <c r="I2410"/>
  <c r="I2409"/>
  <c r="I2408"/>
  <c r="I2406"/>
  <c r="I2405"/>
  <c r="I2404"/>
  <c r="I2403"/>
  <c r="I2402"/>
  <c r="I2401"/>
  <c r="I2400"/>
  <c r="I2399"/>
  <c r="I2398"/>
  <c r="I2397"/>
  <c r="I2396"/>
  <c r="I2395"/>
  <c r="I2394"/>
  <c r="I2393"/>
  <c r="I2392"/>
  <c r="I2391"/>
  <c r="I2390"/>
  <c r="I2389"/>
  <c r="I2388"/>
  <c r="I2387"/>
  <c r="I2386"/>
  <c r="I2385"/>
  <c r="I2384"/>
  <c r="I2383"/>
  <c r="I2382"/>
  <c r="I2380"/>
  <c r="I2379"/>
  <c r="I2377"/>
  <c r="I2376"/>
  <c r="I2375"/>
  <c r="I2373"/>
  <c r="I2372"/>
  <c r="I2370"/>
  <c r="I2369"/>
  <c r="I2368"/>
  <c r="I2366"/>
  <c r="I2363"/>
  <c r="I2362"/>
  <c r="I2360"/>
  <c r="I2359"/>
  <c r="I2358"/>
  <c r="I2357"/>
  <c r="I2356"/>
  <c r="I2355"/>
  <c r="I2354"/>
  <c r="I2353"/>
  <c r="I2352"/>
  <c r="I2351"/>
  <c r="I2350"/>
  <c r="I2349"/>
  <c r="I2348"/>
  <c r="I2347"/>
  <c r="I2346"/>
  <c r="I2345"/>
  <c r="I2344"/>
  <c r="I2341"/>
  <c r="I2340"/>
  <c r="I2339"/>
  <c r="I2338"/>
  <c r="I2337"/>
  <c r="I2336"/>
  <c r="I2335"/>
  <c r="I2334"/>
  <c r="I2333"/>
  <c r="I2332"/>
  <c r="I2331"/>
  <c r="I2330"/>
  <c r="I2329"/>
  <c r="I2328"/>
  <c r="I2326"/>
  <c r="I2325"/>
  <c r="I2324"/>
  <c r="I2323"/>
  <c r="I2322"/>
  <c r="I2321"/>
  <c r="I2320"/>
  <c r="I2319"/>
  <c r="I2318"/>
  <c r="I2317"/>
  <c r="I2316"/>
  <c r="I2315"/>
  <c r="I2314"/>
  <c r="I2313"/>
  <c r="I2312"/>
  <c r="I2310"/>
  <c r="I2309"/>
  <c r="I2308"/>
  <c r="I2307"/>
  <c r="I2306"/>
  <c r="I2305"/>
  <c r="I2304"/>
  <c r="I2302"/>
  <c r="I2300"/>
  <c r="I2299"/>
  <c r="I2298"/>
  <c r="I2297"/>
  <c r="I2296"/>
  <c r="I2295"/>
  <c r="I2294"/>
  <c r="I2292"/>
  <c r="I2290"/>
  <c r="I2289"/>
  <c r="I2288"/>
  <c r="I2287"/>
  <c r="I2286"/>
  <c r="I2285"/>
  <c r="I2284"/>
  <c r="I2282"/>
  <c r="I2281"/>
  <c r="I2280"/>
  <c r="I2279"/>
  <c r="I2278"/>
  <c r="I2277"/>
  <c r="I2276"/>
  <c r="I2275"/>
  <c r="I2274"/>
  <c r="I2273"/>
  <c r="I2272"/>
  <c r="I2271"/>
  <c r="I2270"/>
  <c r="I2269"/>
  <c r="I2268"/>
  <c r="I2267"/>
  <c r="I2266"/>
  <c r="I2265"/>
  <c r="I2264"/>
  <c r="I2263"/>
  <c r="I2262"/>
  <c r="I2261"/>
  <c r="I2260"/>
  <c r="I2259"/>
  <c r="I2258"/>
  <c r="I2257"/>
  <c r="I2255"/>
  <c r="I2254"/>
  <c r="I2253"/>
  <c r="I2252"/>
  <c r="I2251"/>
  <c r="I2250"/>
  <c r="I2249"/>
  <c r="I2248"/>
  <c r="I2247"/>
  <c r="I2246"/>
  <c r="I2245"/>
  <c r="I2244"/>
  <c r="I2243"/>
  <c r="I2242"/>
  <c r="I2241"/>
  <c r="I2240"/>
  <c r="I2239"/>
  <c r="I2238"/>
  <c r="I2237"/>
  <c r="I2236"/>
  <c r="I2235"/>
  <c r="I2234"/>
  <c r="I2233"/>
  <c r="I2232"/>
  <c r="I2231"/>
  <c r="I2228"/>
  <c r="I2227"/>
  <c r="I2225"/>
  <c r="I2224"/>
  <c r="I2223"/>
  <c r="I2221"/>
  <c r="I2220"/>
  <c r="I2218"/>
  <c r="I2217"/>
  <c r="I2216"/>
  <c r="I2214"/>
  <c r="I2212"/>
  <c r="I2211"/>
  <c r="I2209"/>
  <c r="I2208"/>
  <c r="I2207"/>
  <c r="I2206"/>
  <c r="I2205"/>
  <c r="I2204"/>
  <c r="I2203"/>
  <c r="I2202"/>
  <c r="I2201"/>
  <c r="I2200"/>
  <c r="I2199"/>
  <c r="I2198"/>
  <c r="I2197"/>
  <c r="I2196"/>
  <c r="I2195"/>
  <c r="I2194"/>
  <c r="I2193"/>
  <c r="I1932"/>
  <c r="I1933" s="1"/>
  <c r="I1934" s="1"/>
  <c r="B1931"/>
  <c r="I1925"/>
  <c r="I1924"/>
  <c r="I1923"/>
  <c r="I1922"/>
  <c r="I1921"/>
  <c r="I1920"/>
  <c r="I1919"/>
  <c r="I1918"/>
  <c r="I1902"/>
  <c r="I1901"/>
  <c r="I1900"/>
  <c r="I1899"/>
  <c r="I1898"/>
  <c r="I1897"/>
  <c r="I1895"/>
  <c r="I1894"/>
  <c r="I1893"/>
  <c r="I1892"/>
  <c r="I1891"/>
  <c r="I1890"/>
  <c r="I1889"/>
  <c r="I1888"/>
  <c r="I1887"/>
  <c r="I1886"/>
  <c r="I1885"/>
  <c r="I1884"/>
  <c r="I1883"/>
  <c r="I1882"/>
  <c r="I1881"/>
  <c r="I1880"/>
  <c r="I1879"/>
  <c r="I1878"/>
  <c r="I1877"/>
  <c r="I1876"/>
  <c r="I1875"/>
  <c r="I1873"/>
  <c r="I1872"/>
  <c r="I1871"/>
  <c r="I1870"/>
  <c r="I1869"/>
  <c r="I1868"/>
  <c r="I1867"/>
  <c r="I1866"/>
  <c r="I1865"/>
  <c r="I1823"/>
  <c r="I1822"/>
  <c r="I1821"/>
  <c r="I1820"/>
  <c r="I1852"/>
  <c r="I1851"/>
  <c r="I1850"/>
  <c r="I1849"/>
  <c r="I1848"/>
  <c r="I1847"/>
  <c r="I1845"/>
  <c r="I1844"/>
  <c r="I1843"/>
  <c r="I1842"/>
  <c r="I1841"/>
  <c r="I1840"/>
  <c r="I1839"/>
  <c r="I1838"/>
  <c r="I1837"/>
  <c r="I1836"/>
  <c r="I1835"/>
  <c r="I1834"/>
  <c r="I1833"/>
  <c r="I1832"/>
  <c r="I1831"/>
  <c r="I1830"/>
  <c r="I1829"/>
  <c r="I1828"/>
  <c r="I1827"/>
  <c r="I1826"/>
  <c r="I1825"/>
  <c r="I1765"/>
  <c r="I1763"/>
  <c r="I1762"/>
  <c r="I1761"/>
  <c r="I1760"/>
  <c r="I1759"/>
  <c r="I1758"/>
  <c r="I1757"/>
  <c r="I1756"/>
  <c r="I1750"/>
  <c r="I1749"/>
  <c r="I1748"/>
  <c r="I1747"/>
  <c r="I1746"/>
  <c r="I1745"/>
  <c r="I1743"/>
  <c r="I1742"/>
  <c r="I1741"/>
  <c r="I1740"/>
  <c r="I1739"/>
  <c r="I1738"/>
  <c r="I1737"/>
  <c r="I1736"/>
  <c r="I1734"/>
  <c r="I1733"/>
  <c r="I1732"/>
  <c r="I1731"/>
  <c r="I1730"/>
  <c r="I1728"/>
  <c r="I1727"/>
  <c r="I1726"/>
  <c r="I1725"/>
  <c r="I1724"/>
  <c r="I1723"/>
  <c r="I1722"/>
  <c r="I1720"/>
  <c r="I1719"/>
  <c r="I1718"/>
  <c r="I1717"/>
  <c r="I1715"/>
  <c r="I1714"/>
  <c r="I1713"/>
  <c r="I1712"/>
  <c r="I1711"/>
  <c r="I1710"/>
  <c r="I1709"/>
  <c r="I1708"/>
  <c r="I1707"/>
  <c r="I1706"/>
  <c r="I1705"/>
  <c r="I1704"/>
  <c r="I1703"/>
  <c r="I1702"/>
  <c r="I1701"/>
  <c r="I1700"/>
  <c r="I1699"/>
  <c r="I1698"/>
  <c r="I1697"/>
  <c r="I1696"/>
  <c r="I1695"/>
  <c r="I1693"/>
  <c r="I1692"/>
  <c r="I1691"/>
  <c r="I1690"/>
  <c r="I1689"/>
  <c r="I1688"/>
  <c r="I1687"/>
  <c r="I1686"/>
  <c r="I1685"/>
  <c r="I1684"/>
  <c r="I1683"/>
  <c r="I1682"/>
  <c r="I1681"/>
  <c r="I1680"/>
  <c r="I1679"/>
  <c r="I1678"/>
  <c r="I1676"/>
  <c r="I1675"/>
  <c r="I1674"/>
  <c r="I1673"/>
  <c r="I1672"/>
  <c r="I1671"/>
  <c r="I1670"/>
  <c r="I1669"/>
  <c r="I1668"/>
  <c r="I1667"/>
  <c r="I1666"/>
  <c r="I1665"/>
  <c r="I1664"/>
  <c r="I1663"/>
  <c r="I1662"/>
  <c r="I1661"/>
  <c r="I1660"/>
  <c r="I1659"/>
  <c r="I1658"/>
  <c r="I1657"/>
  <c r="I1656"/>
  <c r="I1655"/>
  <c r="I1654"/>
  <c r="I1653"/>
  <c r="I1652"/>
  <c r="I1651"/>
  <c r="I1649"/>
  <c r="I1648"/>
  <c r="I1647"/>
  <c r="I1646"/>
  <c r="I1645"/>
  <c r="I1644"/>
  <c r="I1643"/>
  <c r="I1642"/>
  <c r="I1641"/>
  <c r="I1640"/>
  <c r="I1639"/>
  <c r="I1638"/>
  <c r="I1637"/>
  <c r="I1636"/>
  <c r="I1630"/>
  <c r="I1629"/>
  <c r="I1628"/>
  <c r="I1627"/>
  <c r="I1626"/>
  <c r="I1625"/>
  <c r="I1623"/>
  <c r="I1622"/>
  <c r="I1621"/>
  <c r="I1620"/>
  <c r="I1619"/>
  <c r="I1618"/>
  <c r="I1273"/>
  <c r="I1272"/>
  <c r="I1271"/>
  <c r="I1270"/>
  <c r="I1269"/>
  <c r="I1268"/>
  <c r="I1267"/>
  <c r="I1265"/>
  <c r="I1264"/>
  <c r="I1263"/>
  <c r="I1262"/>
  <c r="I1261"/>
  <c r="I1260"/>
  <c r="I1259"/>
  <c r="I1258"/>
  <c r="I1257"/>
  <c r="I1256"/>
  <c r="I1255"/>
  <c r="I1253"/>
  <c r="I1252"/>
  <c r="I1251"/>
  <c r="I1250"/>
  <c r="I1249"/>
  <c r="I1248"/>
  <c r="I1247"/>
  <c r="I1246"/>
  <c r="I1245"/>
  <c r="I1244"/>
  <c r="I1243"/>
  <c r="I1242"/>
  <c r="I1241"/>
  <c r="I1240"/>
  <c r="I1239"/>
  <c r="I1238"/>
  <c r="I1237"/>
  <c r="I1236"/>
  <c r="I1235"/>
  <c r="I1234"/>
  <c r="I1233"/>
  <c r="I1231"/>
  <c r="I1229"/>
  <c r="I1228"/>
  <c r="I1227"/>
  <c r="I1226"/>
  <c r="I1140"/>
  <c r="I1139"/>
  <c r="I1138"/>
  <c r="I1137"/>
  <c r="I1136"/>
  <c r="I1135"/>
  <c r="I1133"/>
  <c r="I1132"/>
  <c r="I1131"/>
  <c r="I1130"/>
  <c r="I1129"/>
  <c r="I1128"/>
  <c r="I1127"/>
  <c r="I1126"/>
  <c r="I1125"/>
  <c r="I1124"/>
  <c r="I1123"/>
  <c r="I1122"/>
  <c r="I1121"/>
  <c r="I1120"/>
  <c r="I1119"/>
  <c r="I1118"/>
  <c r="I1117"/>
  <c r="I918"/>
  <c r="I917"/>
  <c r="I916"/>
  <c r="I915"/>
  <c r="I914"/>
  <c r="I913"/>
  <c r="I2938" l="1"/>
  <c r="I2939" s="1"/>
  <c r="I1766"/>
  <c r="I1767" s="1"/>
  <c r="I2736"/>
  <c r="I2737" s="1"/>
  <c r="I2949"/>
  <c r="I2950" s="1"/>
  <c r="I1631"/>
  <c r="I1632" s="1"/>
  <c r="I1751"/>
  <c r="I1274"/>
  <c r="I1769" l="1"/>
  <c r="I1209"/>
  <c r="I1206"/>
  <c r="I1205"/>
  <c r="I1204"/>
  <c r="I1197"/>
  <c r="I1196"/>
  <c r="I1187"/>
  <c r="I1186"/>
  <c r="I1191"/>
  <c r="I1203"/>
  <c r="I1147"/>
  <c r="I186"/>
  <c r="I185"/>
  <c r="I1221"/>
  <c r="I1220"/>
  <c r="I1219"/>
  <c r="I1218"/>
  <c r="I1216"/>
  <c r="I1215"/>
  <c r="I1214"/>
  <c r="I1213"/>
  <c r="I1212"/>
  <c r="I1211"/>
  <c r="I1210"/>
  <c r="I1208"/>
  <c r="I1207"/>
  <c r="I1202"/>
  <c r="I1201"/>
  <c r="I1200"/>
  <c r="I1199"/>
  <c r="I1198"/>
  <c r="I1195"/>
  <c r="I1194"/>
  <c r="I1193"/>
  <c r="N1192"/>
  <c r="I1192"/>
  <c r="I1190"/>
  <c r="I1189"/>
  <c r="I1188"/>
  <c r="I1185"/>
  <c r="I1184"/>
  <c r="I1182"/>
  <c r="I1181"/>
  <c r="I1180"/>
  <c r="I1179"/>
  <c r="I1178"/>
  <c r="I1177"/>
  <c r="I1176"/>
  <c r="I1175"/>
  <c r="I1174"/>
  <c r="I1173"/>
  <c r="I1172"/>
  <c r="I3662"/>
  <c r="I3661"/>
  <c r="I3660"/>
  <c r="P93"/>
  <c r="Q93" s="1"/>
  <c r="N93"/>
  <c r="O93" s="1"/>
  <c r="I93"/>
  <c r="N92"/>
  <c r="O92" s="1"/>
  <c r="I92"/>
  <c r="I91"/>
  <c r="N90"/>
  <c r="O90" s="1"/>
  <c r="I90"/>
  <c r="I89"/>
  <c r="I88"/>
  <c r="I87"/>
  <c r="I86"/>
  <c r="I85"/>
  <c r="I84"/>
  <c r="I83"/>
  <c r="I82"/>
  <c r="I81"/>
  <c r="I80"/>
  <c r="I79"/>
  <c r="I78"/>
  <c r="I77"/>
  <c r="I76"/>
  <c r="I75"/>
  <c r="I74"/>
  <c r="I73"/>
  <c r="I72"/>
  <c r="I71"/>
  <c r="I70"/>
  <c r="I69"/>
  <c r="I68"/>
  <c r="I67"/>
  <c r="I66"/>
  <c r="I65"/>
  <c r="I64"/>
  <c r="I63"/>
  <c r="I62"/>
  <c r="K2755"/>
  <c r="L2755" s="1"/>
  <c r="I2755"/>
  <c r="K2754"/>
  <c r="L2754" s="1"/>
  <c r="I2754"/>
  <c r="K2753"/>
  <c r="L2753" s="1"/>
  <c r="I2753"/>
  <c r="K2752"/>
  <c r="L2752" s="1"/>
  <c r="I2752"/>
  <c r="K2751"/>
  <c r="L2751" s="1"/>
  <c r="I2751"/>
  <c r="L2750"/>
  <c r="I2750"/>
  <c r="K2749"/>
  <c r="L2749" s="1"/>
  <c r="I2749"/>
  <c r="K2748"/>
  <c r="L2748" s="1"/>
  <c r="I1939"/>
  <c r="N1939"/>
  <c r="I1940"/>
  <c r="N1940"/>
  <c r="I1941"/>
  <c r="N1941"/>
  <c r="I1942"/>
  <c r="N1942"/>
  <c r="I1943"/>
  <c r="I1945"/>
  <c r="N1945"/>
  <c r="I1946"/>
  <c r="I1947"/>
  <c r="N1947"/>
  <c r="I1948"/>
  <c r="I1949"/>
  <c r="I94" l="1"/>
  <c r="I95" s="1"/>
  <c r="I3663"/>
  <c r="I3664" s="1"/>
  <c r="H102" i="107" l="1"/>
  <c r="H103" s="1"/>
  <c r="H99"/>
  <c r="H96"/>
  <c r="H93"/>
  <c r="H89"/>
  <c r="H88"/>
  <c r="H87"/>
  <c r="H81"/>
  <c r="H80"/>
  <c r="H77"/>
  <c r="H78" s="1"/>
  <c r="H72"/>
  <c r="H73" s="1"/>
  <c r="H69"/>
  <c r="H70" s="1"/>
  <c r="H66"/>
  <c r="H67" s="1"/>
  <c r="H63"/>
  <c r="H57"/>
  <c r="H56"/>
  <c r="H52"/>
  <c r="G53" s="1"/>
  <c r="H48"/>
  <c r="G49" s="1"/>
  <c r="H45"/>
  <c r="G46" s="1"/>
  <c r="H41"/>
  <c r="H40"/>
  <c r="H36"/>
  <c r="H35"/>
  <c r="H31"/>
  <c r="H30"/>
  <c r="H27"/>
  <c r="G28" s="1"/>
  <c r="H22"/>
  <c r="G23" s="1"/>
  <c r="H18"/>
  <c r="G19" s="1"/>
  <c r="H14"/>
  <c r="H12"/>
  <c r="H10"/>
  <c r="H7"/>
  <c r="H32" l="1"/>
  <c r="G33" s="1"/>
  <c r="H37"/>
  <c r="G38" s="1"/>
  <c r="H42"/>
  <c r="G43" s="1"/>
  <c r="H90"/>
  <c r="H82"/>
  <c r="H58"/>
  <c r="E109"/>
  <c r="H109" s="1"/>
  <c r="H110" s="1"/>
  <c r="E106" l="1"/>
  <c r="H106" s="1"/>
  <c r="H30" i="106"/>
  <c r="H31" s="1"/>
  <c r="G32" s="1"/>
  <c r="H27"/>
  <c r="H28" s="1"/>
  <c r="G29" s="1"/>
  <c r="H23"/>
  <c r="H24" s="1"/>
  <c r="G25" s="1"/>
  <c r="H19"/>
  <c r="H20" s="1"/>
  <c r="G21" s="1"/>
  <c r="H15"/>
  <c r="H16" s="1"/>
  <c r="G17" s="1"/>
  <c r="H11"/>
  <c r="H12" s="1"/>
  <c r="G13" s="1"/>
  <c r="H7"/>
  <c r="H8" s="1"/>
  <c r="G9" s="1"/>
  <c r="H5" i="105"/>
  <c r="H6" s="1"/>
  <c r="G7" s="1"/>
  <c r="I3657" i="97" l="1"/>
  <c r="I3658" s="1"/>
  <c r="I3654"/>
  <c r="I3653"/>
  <c r="I3650"/>
  <c r="I3651" s="1"/>
  <c r="I3647"/>
  <c r="I3646"/>
  <c r="I3645"/>
  <c r="I3644"/>
  <c r="I3641"/>
  <c r="I3640"/>
  <c r="I3639"/>
  <c r="I3638"/>
  <c r="I3634"/>
  <c r="K3631"/>
  <c r="I3631"/>
  <c r="I3630"/>
  <c r="I3629"/>
  <c r="I3628"/>
  <c r="I3627"/>
  <c r="I3626"/>
  <c r="I3624"/>
  <c r="I3623"/>
  <c r="N3621"/>
  <c r="M3621"/>
  <c r="L3621"/>
  <c r="M56" i="103"/>
  <c r="O55"/>
  <c r="P55" s="1"/>
  <c r="M55"/>
  <c r="M52"/>
  <c r="R34"/>
  <c r="S34" s="1"/>
  <c r="O34"/>
  <c r="P34" s="1"/>
  <c r="P29"/>
  <c r="O29"/>
  <c r="M29"/>
  <c r="R11"/>
  <c r="S11" s="1"/>
  <c r="O11"/>
  <c r="P11" s="1"/>
  <c r="H30" i="102"/>
  <c r="H31" s="1"/>
  <c r="G32" s="1"/>
  <c r="H26"/>
  <c r="H21"/>
  <c r="H22" s="1"/>
  <c r="G23" s="1"/>
  <c r="H17"/>
  <c r="H18" s="1"/>
  <c r="G19" s="1"/>
  <c r="H13"/>
  <c r="H14" s="1"/>
  <c r="G15" s="1"/>
  <c r="H9"/>
  <c r="H10" s="1"/>
  <c r="G11" s="1"/>
  <c r="H5"/>
  <c r="H6" s="1"/>
  <c r="G7" s="1"/>
  <c r="I3655" i="97" l="1"/>
  <c r="I3636"/>
  <c r="I3632"/>
  <c r="I3648"/>
  <c r="I3642"/>
  <c r="H27" i="102"/>
  <c r="G28" s="1"/>
  <c r="H155" i="100" l="1"/>
  <c r="H154"/>
  <c r="H152"/>
  <c r="H151"/>
  <c r="H150"/>
  <c r="H147"/>
  <c r="H145"/>
  <c r="I138"/>
  <c r="F137"/>
  <c r="I136"/>
  <c r="G135"/>
  <c r="G134"/>
  <c r="G133"/>
  <c r="G132"/>
  <c r="G131"/>
  <c r="G130"/>
  <c r="G129"/>
  <c r="G128"/>
  <c r="G127"/>
  <c r="G126"/>
  <c r="G125"/>
  <c r="G124"/>
  <c r="H122"/>
  <c r="F121"/>
  <c r="I120"/>
  <c r="H119"/>
  <c r="F118"/>
  <c r="I117"/>
  <c r="G116"/>
  <c r="G115"/>
  <c r="G114"/>
  <c r="G113"/>
  <c r="G112"/>
  <c r="G111"/>
  <c r="G110"/>
  <c r="G109"/>
  <c r="G108"/>
  <c r="G107"/>
  <c r="G106"/>
  <c r="G105"/>
  <c r="G104"/>
  <c r="G103"/>
  <c r="G102"/>
  <c r="G101"/>
  <c r="G100"/>
  <c r="G99"/>
  <c r="G98"/>
  <c r="G97"/>
  <c r="G96"/>
  <c r="G95"/>
  <c r="G139" s="1"/>
  <c r="G141" s="1"/>
  <c r="F93"/>
  <c r="H92"/>
  <c r="H91"/>
  <c r="I90"/>
  <c r="H89"/>
  <c r="F88"/>
  <c r="I87"/>
  <c r="F86"/>
  <c r="F139" s="1"/>
  <c r="F141" s="1"/>
  <c r="I85"/>
  <c r="I84"/>
  <c r="I139" s="1"/>
  <c r="I141" s="1"/>
  <c r="H83"/>
  <c r="H82"/>
  <c r="H81"/>
  <c r="H80"/>
  <c r="H79"/>
  <c r="H78"/>
  <c r="H77"/>
  <c r="H76"/>
  <c r="H75"/>
  <c r="H74"/>
  <c r="H73"/>
  <c r="H72"/>
  <c r="H71"/>
  <c r="H70"/>
  <c r="H69"/>
  <c r="H68"/>
  <c r="H67"/>
  <c r="H66"/>
  <c r="H65"/>
  <c r="H64"/>
  <c r="H63"/>
  <c r="H62"/>
  <c r="H61"/>
  <c r="H60"/>
  <c r="H59"/>
  <c r="H58"/>
  <c r="H57"/>
  <c r="H56"/>
  <c r="H55"/>
  <c r="H54"/>
  <c r="H53"/>
  <c r="H52"/>
  <c r="H51"/>
  <c r="H50"/>
  <c r="H49"/>
  <c r="H48"/>
  <c r="H47"/>
  <c r="H46"/>
  <c r="H139" s="1"/>
  <c r="H141" s="1"/>
  <c r="H41"/>
  <c r="H40"/>
  <c r="H42" s="1"/>
  <c r="G43" s="1"/>
  <c r="H36"/>
  <c r="H35"/>
  <c r="H37" s="1"/>
  <c r="G38" s="1"/>
  <c r="H31"/>
  <c r="H30"/>
  <c r="H29"/>
  <c r="H28"/>
  <c r="H32" s="1"/>
  <c r="G33" s="1"/>
  <c r="H24"/>
  <c r="G25" s="1"/>
  <c r="H19"/>
  <c r="H18"/>
  <c r="H17"/>
  <c r="H16"/>
  <c r="H15"/>
  <c r="H14"/>
  <c r="H13"/>
  <c r="H10"/>
  <c r="G11" s="1"/>
  <c r="H7"/>
  <c r="G8" s="1"/>
  <c r="H5"/>
  <c r="G6" s="1"/>
  <c r="C23" i="99"/>
  <c r="C25" s="1"/>
  <c r="C27" s="1"/>
  <c r="C18"/>
  <c r="C11"/>
  <c r="C13" s="1"/>
  <c r="C14" s="1"/>
  <c r="H20" i="100" l="1"/>
  <c r="G21" s="1"/>
  <c r="H156"/>
  <c r="G157" s="1"/>
  <c r="H142"/>
  <c r="I142" s="1"/>
  <c r="I3596" i="97" l="1"/>
  <c r="I3595"/>
  <c r="I3594"/>
  <c r="I3593"/>
  <c r="I3592"/>
  <c r="I3591"/>
  <c r="I3590"/>
  <c r="I3589"/>
  <c r="I3588"/>
  <c r="I3336"/>
  <c r="N3336"/>
  <c r="O3336"/>
  <c r="P3336" s="1"/>
  <c r="I3337"/>
  <c r="N3334"/>
  <c r="I3334"/>
  <c r="I3333"/>
  <c r="N3332"/>
  <c r="I3332"/>
  <c r="N3331"/>
  <c r="I3331"/>
  <c r="I3330"/>
  <c r="N3329"/>
  <c r="I3329"/>
  <c r="N3327"/>
  <c r="I3327"/>
  <c r="N3326"/>
  <c r="I3326"/>
  <c r="N3325"/>
  <c r="I3325"/>
  <c r="N3324"/>
  <c r="I3324"/>
  <c r="O3323"/>
  <c r="N3323"/>
  <c r="I3323"/>
  <c r="N3322"/>
  <c r="I3322"/>
  <c r="N3321"/>
  <c r="I3321"/>
  <c r="N3320"/>
  <c r="I3320"/>
  <c r="N3319"/>
  <c r="I3319"/>
  <c r="N3318"/>
  <c r="I3318"/>
  <c r="O3317"/>
  <c r="N3317"/>
  <c r="I3317"/>
  <c r="N3316"/>
  <c r="I3316"/>
  <c r="P3315"/>
  <c r="Q3315" s="1"/>
  <c r="I3315"/>
  <c r="O3314"/>
  <c r="P3314" s="1"/>
  <c r="Q3314" s="1"/>
  <c r="I3314"/>
  <c r="I3313"/>
  <c r="I3312"/>
  <c r="I3311"/>
  <c r="S3310"/>
  <c r="N3310"/>
  <c r="O3310" s="1"/>
  <c r="I3310"/>
  <c r="N3309"/>
  <c r="O3309" s="1"/>
  <c r="I3309"/>
  <c r="P3308"/>
  <c r="O3308"/>
  <c r="N3308"/>
  <c r="I3308"/>
  <c r="I3307"/>
  <c r="N3306"/>
  <c r="I3306"/>
  <c r="I3305"/>
  <c r="I3304"/>
  <c r="I3303"/>
  <c r="I3302"/>
  <c r="I3301"/>
  <c r="N3300"/>
  <c r="I3300"/>
  <c r="I3299"/>
  <c r="N3298"/>
  <c r="I3298"/>
  <c r="I3297"/>
  <c r="I3296"/>
  <c r="I3295"/>
  <c r="I3294"/>
  <c r="I3293"/>
  <c r="I3292"/>
  <c r="I3291"/>
  <c r="I3290"/>
  <c r="I3289"/>
  <c r="I3288"/>
  <c r="I3287"/>
  <c r="I3286"/>
  <c r="O3285"/>
  <c r="I3285"/>
  <c r="I3284"/>
  <c r="N3283"/>
  <c r="O3283" s="1"/>
  <c r="I3283"/>
  <c r="I3281"/>
  <c r="F3273"/>
  <c r="I3273" s="1"/>
  <c r="I3272"/>
  <c r="F3271"/>
  <c r="I3271" s="1"/>
  <c r="I3270"/>
  <c r="F3269"/>
  <c r="I3269" s="1"/>
  <c r="I3268"/>
  <c r="O3267"/>
  <c r="N3267"/>
  <c r="I3267"/>
  <c r="N3246"/>
  <c r="I3246"/>
  <c r="I3245"/>
  <c r="N3244"/>
  <c r="I3244"/>
  <c r="N3243"/>
  <c r="I3243"/>
  <c r="I3242"/>
  <c r="N3241"/>
  <c r="I3241"/>
  <c r="I3239"/>
  <c r="I3238"/>
  <c r="I3237"/>
  <c r="I3236"/>
  <c r="I3235"/>
  <c r="N3234"/>
  <c r="I3234"/>
  <c r="I3233"/>
  <c r="N3232"/>
  <c r="I3232"/>
  <c r="I3231"/>
  <c r="I3230"/>
  <c r="I3229"/>
  <c r="I3228"/>
  <c r="I3227"/>
  <c r="I3226"/>
  <c r="I3225"/>
  <c r="I3224"/>
  <c r="I3223"/>
  <c r="I3222"/>
  <c r="I3221"/>
  <c r="I3220"/>
  <c r="I3219"/>
  <c r="I3218"/>
  <c r="I3217"/>
  <c r="I3216"/>
  <c r="N3215"/>
  <c r="I3215"/>
  <c r="I3214"/>
  <c r="I3213"/>
  <c r="I3212"/>
  <c r="I3211"/>
  <c r="I3210"/>
  <c r="I3209"/>
  <c r="I3208"/>
  <c r="I3207"/>
  <c r="N3206"/>
  <c r="I3206"/>
  <c r="I3205"/>
  <c r="N3204"/>
  <c r="I3204"/>
  <c r="I3203"/>
  <c r="N3202"/>
  <c r="I3202"/>
  <c r="N3199"/>
  <c r="I3199"/>
  <c r="I3198"/>
  <c r="I3197"/>
  <c r="N3196"/>
  <c r="I3196"/>
  <c r="F3195"/>
  <c r="I3195" s="1"/>
  <c r="I3194"/>
  <c r="I3193"/>
  <c r="N3192"/>
  <c r="I3192"/>
  <c r="I3191"/>
  <c r="I3190"/>
  <c r="I3189"/>
  <c r="I3188"/>
  <c r="N3187"/>
  <c r="I3187"/>
  <c r="O3185"/>
  <c r="N3185"/>
  <c r="P3185" s="1"/>
  <c r="I3185"/>
  <c r="I3184"/>
  <c r="F3183"/>
  <c r="I3183" s="1"/>
  <c r="I3182"/>
  <c r="N3181"/>
  <c r="I3181"/>
  <c r="N3179"/>
  <c r="I3179"/>
  <c r="I3178"/>
  <c r="I3177"/>
  <c r="I3176"/>
  <c r="N3175"/>
  <c r="I3175"/>
  <c r="I3174"/>
  <c r="I3173"/>
  <c r="I3172"/>
  <c r="N3171"/>
  <c r="I3171"/>
  <c r="I3169"/>
  <c r="I3168"/>
  <c r="I3167"/>
  <c r="F3166"/>
  <c r="I3166" s="1"/>
  <c r="I3165"/>
  <c r="I3164"/>
  <c r="I3163"/>
  <c r="I3162"/>
  <c r="I3161"/>
  <c r="N3160"/>
  <c r="I3160"/>
  <c r="N3158"/>
  <c r="I3158"/>
  <c r="I3157"/>
  <c r="I3156"/>
  <c r="N3155"/>
  <c r="I3155"/>
  <c r="O3154"/>
  <c r="N3154"/>
  <c r="I3154"/>
  <c r="I3152"/>
  <c r="I3151"/>
  <c r="I3150"/>
  <c r="N3149"/>
  <c r="I3149"/>
  <c r="I3148"/>
  <c r="I3147"/>
  <c r="I3146"/>
  <c r="I3145"/>
  <c r="N3144"/>
  <c r="I3144"/>
  <c r="I3142"/>
  <c r="I3141"/>
  <c r="N3140"/>
  <c r="I3140"/>
  <c r="I3139"/>
  <c r="N3138"/>
  <c r="I3138"/>
  <c r="N3137"/>
  <c r="O3137" s="1"/>
  <c r="I3137"/>
  <c r="I3136"/>
  <c r="O3135"/>
  <c r="N3135"/>
  <c r="I3135"/>
  <c r="I3134"/>
  <c r="N3133"/>
  <c r="I3133"/>
  <c r="I3129"/>
  <c r="I3128"/>
  <c r="I3127"/>
  <c r="I3126"/>
  <c r="I3125"/>
  <c r="N3124"/>
  <c r="I3124"/>
  <c r="I3123"/>
  <c r="N3122"/>
  <c r="I3122"/>
  <c r="N3121"/>
  <c r="I3121"/>
  <c r="I3120"/>
  <c r="N3119"/>
  <c r="I3119"/>
  <c r="N3118"/>
  <c r="I3118"/>
  <c r="N3117"/>
  <c r="I3117"/>
  <c r="F3116"/>
  <c r="I3116" s="1"/>
  <c r="I3115"/>
  <c r="N3114"/>
  <c r="I3114"/>
  <c r="F3113"/>
  <c r="I3113" s="1"/>
  <c r="I3112"/>
  <c r="N3111"/>
  <c r="I3111"/>
  <c r="I3110"/>
  <c r="I3109"/>
  <c r="N3108"/>
  <c r="I3108"/>
  <c r="I3107"/>
  <c r="I3106"/>
  <c r="I3105"/>
  <c r="I3104"/>
  <c r="N3103"/>
  <c r="I3103"/>
  <c r="N3102"/>
  <c r="I3102"/>
  <c r="I3101"/>
  <c r="N3100"/>
  <c r="I3100"/>
  <c r="I3099"/>
  <c r="N3098"/>
  <c r="I3098"/>
  <c r="I3097"/>
  <c r="I3096"/>
  <c r="I3095"/>
  <c r="I3094"/>
  <c r="I3093"/>
  <c r="I3092"/>
  <c r="I3091"/>
  <c r="N3090"/>
  <c r="I3090"/>
  <c r="I3089"/>
  <c r="I3088"/>
  <c r="I3087"/>
  <c r="N3086"/>
  <c r="I3086"/>
  <c r="N3085"/>
  <c r="I3085"/>
  <c r="I3084"/>
  <c r="N3083"/>
  <c r="I3083"/>
  <c r="I3082"/>
  <c r="I3081"/>
  <c r="N3080"/>
  <c r="I3080"/>
  <c r="F3079"/>
  <c r="I3079" s="1"/>
  <c r="I3078"/>
  <c r="N3077"/>
  <c r="I3077"/>
  <c r="I3076"/>
  <c r="I3075"/>
  <c r="I3074"/>
  <c r="F3073"/>
  <c r="I3073" s="1"/>
  <c r="I3072"/>
  <c r="I3071"/>
  <c r="I3070"/>
  <c r="N3069"/>
  <c r="I3069"/>
  <c r="I3068"/>
  <c r="N3067"/>
  <c r="I3067"/>
  <c r="I3066"/>
  <c r="I3065"/>
  <c r="N3064"/>
  <c r="I3064"/>
  <c r="I3063"/>
  <c r="N3062"/>
  <c r="I3062"/>
  <c r="I3061"/>
  <c r="I3060"/>
  <c r="N3059"/>
  <c r="I3059"/>
  <c r="I3058"/>
  <c r="N3057"/>
  <c r="I3057"/>
  <c r="I3056"/>
  <c r="I3055"/>
  <c r="N3054"/>
  <c r="I3054"/>
  <c r="I3053"/>
  <c r="I3052"/>
  <c r="N3051"/>
  <c r="I3051"/>
  <c r="I3050"/>
  <c r="N3049"/>
  <c r="I3049"/>
  <c r="I3048"/>
  <c r="N3047"/>
  <c r="I3047"/>
  <c r="I3046"/>
  <c r="N3045"/>
  <c r="I3045"/>
  <c r="I2747"/>
  <c r="I2746"/>
  <c r="I2745"/>
  <c r="I2744"/>
  <c r="I2743"/>
  <c r="I2742"/>
  <c r="I2741"/>
  <c r="I2186"/>
  <c r="I2185"/>
  <c r="I2184"/>
  <c r="I2183"/>
  <c r="I2182"/>
  <c r="I2181"/>
  <c r="I2180"/>
  <c r="I2179"/>
  <c r="I2178"/>
  <c r="I2177"/>
  <c r="I2176"/>
  <c r="I2175"/>
  <c r="I2174"/>
  <c r="I2173"/>
  <c r="I2172"/>
  <c r="I2171"/>
  <c r="I2170"/>
  <c r="I2169"/>
  <c r="I2168"/>
  <c r="I2167"/>
  <c r="I2166"/>
  <c r="I2165"/>
  <c r="I2164"/>
  <c r="I2163"/>
  <c r="I2162"/>
  <c r="I2161"/>
  <c r="I2160"/>
  <c r="I2159"/>
  <c r="I2158"/>
  <c r="I2157"/>
  <c r="I2155"/>
  <c r="I2154"/>
  <c r="I2153"/>
  <c r="R2152"/>
  <c r="I2152"/>
  <c r="R2151"/>
  <c r="I2151"/>
  <c r="R2150"/>
  <c r="I2150"/>
  <c r="R2149"/>
  <c r="I2149"/>
  <c r="R2148"/>
  <c r="I2148"/>
  <c r="R2147"/>
  <c r="I2147"/>
  <c r="R2146"/>
  <c r="I2145"/>
  <c r="I2143"/>
  <c r="I2142"/>
  <c r="I2141"/>
  <c r="I2140"/>
  <c r="I2139"/>
  <c r="I2138"/>
  <c r="I2137"/>
  <c r="I2136"/>
  <c r="I2135"/>
  <c r="I2134"/>
  <c r="I2133"/>
  <c r="I2126"/>
  <c r="I2108"/>
  <c r="R2109"/>
  <c r="R2108"/>
  <c r="R2107"/>
  <c r="R2106"/>
  <c r="R2105"/>
  <c r="R2104"/>
  <c r="R2103"/>
  <c r="I2132"/>
  <c r="I2131"/>
  <c r="I2130"/>
  <c r="I2129"/>
  <c r="I2128"/>
  <c r="I2127"/>
  <c r="I2125"/>
  <c r="I2124"/>
  <c r="I2123"/>
  <c r="I2122"/>
  <c r="I2121"/>
  <c r="I2120"/>
  <c r="I2119"/>
  <c r="I2118"/>
  <c r="I2117"/>
  <c r="I2116"/>
  <c r="I2115"/>
  <c r="I2114"/>
  <c r="I2112"/>
  <c r="I2111"/>
  <c r="I2110"/>
  <c r="I2109"/>
  <c r="I2107"/>
  <c r="I2106"/>
  <c r="I2105"/>
  <c r="I2104"/>
  <c r="I2102"/>
  <c r="I2099"/>
  <c r="I2098"/>
  <c r="I2097"/>
  <c r="I2096"/>
  <c r="I2095"/>
  <c r="I2094"/>
  <c r="I2093"/>
  <c r="I2092"/>
  <c r="I2091"/>
  <c r="I2090"/>
  <c r="I2089"/>
  <c r="I2088"/>
  <c r="I2087"/>
  <c r="I2086"/>
  <c r="I2085"/>
  <c r="I2084"/>
  <c r="I2083"/>
  <c r="I2082"/>
  <c r="I2081"/>
  <c r="I2080"/>
  <c r="I997"/>
  <c r="I996"/>
  <c r="I995"/>
  <c r="I994"/>
  <c r="I993"/>
  <c r="I992"/>
  <c r="I991"/>
  <c r="I988"/>
  <c r="I987"/>
  <c r="I986"/>
  <c r="I985"/>
  <c r="I984"/>
  <c r="I983"/>
  <c r="I982"/>
  <c r="I981"/>
  <c r="I980"/>
  <c r="I979"/>
  <c r="I978"/>
  <c r="I977"/>
  <c r="I976"/>
  <c r="I975"/>
  <c r="I974"/>
  <c r="I973"/>
  <c r="I972"/>
  <c r="I971"/>
  <c r="I970"/>
  <c r="I969"/>
  <c r="I968"/>
  <c r="I967"/>
  <c r="I966"/>
  <c r="I965"/>
  <c r="I964"/>
  <c r="I963"/>
  <c r="I962"/>
  <c r="I961"/>
  <c r="I960"/>
  <c r="I959"/>
  <c r="I958"/>
  <c r="I957"/>
  <c r="I956"/>
  <c r="I955"/>
  <c r="I954"/>
  <c r="I953"/>
  <c r="I952"/>
  <c r="I951"/>
  <c r="I950"/>
  <c r="P2072"/>
  <c r="Q2072" s="1"/>
  <c r="N2072"/>
  <c r="O2072" s="1"/>
  <c r="I2072"/>
  <c r="N2071"/>
  <c r="O2071" s="1"/>
  <c r="I2071"/>
  <c r="I2070"/>
  <c r="N2069"/>
  <c r="O2069" s="1"/>
  <c r="I2069"/>
  <c r="I2068"/>
  <c r="I2067"/>
  <c r="I2066"/>
  <c r="I2065"/>
  <c r="I2064"/>
  <c r="I2063"/>
  <c r="I2062"/>
  <c r="I2061"/>
  <c r="I2060"/>
  <c r="I2059"/>
  <c r="I2058"/>
  <c r="I2057"/>
  <c r="I2056"/>
  <c r="I2055"/>
  <c r="I2054"/>
  <c r="I2053"/>
  <c r="I2052"/>
  <c r="I2051"/>
  <c r="I2050"/>
  <c r="I2049"/>
  <c r="I2048"/>
  <c r="I2047"/>
  <c r="I2046"/>
  <c r="I2045"/>
  <c r="I2044"/>
  <c r="I2043"/>
  <c r="I2042"/>
  <c r="I2041"/>
  <c r="I57"/>
  <c r="I56"/>
  <c r="I55"/>
  <c r="I54"/>
  <c r="I53"/>
  <c r="I51"/>
  <c r="I50"/>
  <c r="I49"/>
  <c r="I48"/>
  <c r="I47"/>
  <c r="I46"/>
  <c r="I45"/>
  <c r="I44"/>
  <c r="I43"/>
  <c r="I42"/>
  <c r="I41"/>
  <c r="I40"/>
  <c r="I39"/>
  <c r="I38"/>
  <c r="I37"/>
  <c r="I36"/>
  <c r="I35"/>
  <c r="I33"/>
  <c r="I32"/>
  <c r="I31"/>
  <c r="I30"/>
  <c r="I29"/>
  <c r="I28"/>
  <c r="I163"/>
  <c r="I162"/>
  <c r="I161"/>
  <c r="I160"/>
  <c r="I159"/>
  <c r="I157"/>
  <c r="I156"/>
  <c r="I155"/>
  <c r="I154"/>
  <c r="I153"/>
  <c r="I152"/>
  <c r="I151"/>
  <c r="I150"/>
  <c r="I149"/>
  <c r="I148"/>
  <c r="I147"/>
  <c r="I146"/>
  <c r="I145"/>
  <c r="I144"/>
  <c r="I143"/>
  <c r="I142"/>
  <c r="I141"/>
  <c r="I139"/>
  <c r="I138"/>
  <c r="I137"/>
  <c r="I136"/>
  <c r="I135"/>
  <c r="I134"/>
  <c r="K26"/>
  <c r="L26" s="1"/>
  <c r="I26"/>
  <c r="K25"/>
  <c r="I25"/>
  <c r="I24"/>
  <c r="K19"/>
  <c r="L19" s="1"/>
  <c r="I19"/>
  <c r="K18"/>
  <c r="I18"/>
  <c r="I17"/>
  <c r="I11"/>
  <c r="I1493"/>
  <c r="I1397"/>
  <c r="I1396"/>
  <c r="I1395"/>
  <c r="I1394"/>
  <c r="I1393"/>
  <c r="I571"/>
  <c r="I726"/>
  <c r="I725"/>
  <c r="I724"/>
  <c r="I723"/>
  <c r="I722"/>
  <c r="I669"/>
  <c r="I668"/>
  <c r="I667"/>
  <c r="I570"/>
  <c r="I569"/>
  <c r="I539"/>
  <c r="I538"/>
  <c r="I537"/>
  <c r="I536"/>
  <c r="I535"/>
  <c r="I533"/>
  <c r="I532"/>
  <c r="I531"/>
  <c r="I530"/>
  <c r="I529"/>
  <c r="I528"/>
  <c r="I527"/>
  <c r="I526"/>
  <c r="I525"/>
  <c r="I524"/>
  <c r="I523"/>
  <c r="I522"/>
  <c r="I521"/>
  <c r="I520"/>
  <c r="I519"/>
  <c r="I518"/>
  <c r="I517"/>
  <c r="I515"/>
  <c r="I514"/>
  <c r="I513"/>
  <c r="I512"/>
  <c r="I511"/>
  <c r="I510"/>
  <c r="I509"/>
  <c r="I508"/>
  <c r="N500"/>
  <c r="O500" s="1"/>
  <c r="I500"/>
  <c r="N499"/>
  <c r="O499" s="1"/>
  <c r="I499"/>
  <c r="N498"/>
  <c r="O498" s="1"/>
  <c r="I498"/>
  <c r="I497"/>
  <c r="I496"/>
  <c r="I495"/>
  <c r="I494"/>
  <c r="I493"/>
  <c r="I492"/>
  <c r="I491"/>
  <c r="I490"/>
  <c r="K422"/>
  <c r="I422"/>
  <c r="I421"/>
  <c r="I420"/>
  <c r="I419"/>
  <c r="I418"/>
  <c r="I417"/>
  <c r="I406"/>
  <c r="I405"/>
  <c r="I404"/>
  <c r="I403"/>
  <c r="I402"/>
  <c r="I400"/>
  <c r="I399"/>
  <c r="I398"/>
  <c r="I397"/>
  <c r="I396"/>
  <c r="I395"/>
  <c r="I394"/>
  <c r="I393"/>
  <c r="I392"/>
  <c r="I391"/>
  <c r="I390"/>
  <c r="I389"/>
  <c r="I388"/>
  <c r="I387"/>
  <c r="I386"/>
  <c r="I385"/>
  <c r="I384"/>
  <c r="I382"/>
  <c r="I381"/>
  <c r="I380"/>
  <c r="I379"/>
  <c r="I378"/>
  <c r="I377"/>
  <c r="I376"/>
  <c r="I375"/>
  <c r="I363"/>
  <c r="I356"/>
  <c r="I329"/>
  <c r="K328"/>
  <c r="I328"/>
  <c r="I327"/>
  <c r="I326"/>
  <c r="I325"/>
  <c r="I311"/>
  <c r="I310"/>
  <c r="I309"/>
  <c r="I308"/>
  <c r="I307"/>
  <c r="I302"/>
  <c r="I301"/>
  <c r="I300"/>
  <c r="I299"/>
  <c r="I298"/>
  <c r="I296"/>
  <c r="I295"/>
  <c r="I294"/>
  <c r="I293"/>
  <c r="I292"/>
  <c r="I291"/>
  <c r="I290"/>
  <c r="I288"/>
  <c r="I287"/>
  <c r="I286"/>
  <c r="I285"/>
  <c r="I284"/>
  <c r="I283"/>
  <c r="I282"/>
  <c r="I281"/>
  <c r="I280"/>
  <c r="I279"/>
  <c r="I278"/>
  <c r="I277"/>
  <c r="I276"/>
  <c r="I275"/>
  <c r="I274"/>
  <c r="I273"/>
  <c r="I272"/>
  <c r="I270"/>
  <c r="I269"/>
  <c r="I268"/>
  <c r="I267"/>
  <c r="I266"/>
  <c r="I265"/>
  <c r="I263"/>
  <c r="I262"/>
  <c r="I261"/>
  <c r="I260"/>
  <c r="I259"/>
  <c r="I257"/>
  <c r="I256"/>
  <c r="I255"/>
  <c r="I254"/>
  <c r="I253"/>
  <c r="I252"/>
  <c r="I251"/>
  <c r="I249"/>
  <c r="I248"/>
  <c r="I247"/>
  <c r="I246"/>
  <c r="I245"/>
  <c r="I244"/>
  <c r="I243"/>
  <c r="I242"/>
  <c r="I241"/>
  <c r="I240"/>
  <c r="I239"/>
  <c r="I238"/>
  <c r="I237"/>
  <c r="I236"/>
  <c r="I235"/>
  <c r="I234"/>
  <c r="I233"/>
  <c r="I231"/>
  <c r="I230"/>
  <c r="I229"/>
  <c r="I228"/>
  <c r="I227"/>
  <c r="I226"/>
  <c r="I224"/>
  <c r="I223"/>
  <c r="I222"/>
  <c r="I221"/>
  <c r="I220"/>
  <c r="I219"/>
  <c r="I218"/>
  <c r="I215"/>
  <c r="I214"/>
  <c r="I213"/>
  <c r="I212"/>
  <c r="I211"/>
  <c r="I210"/>
  <c r="I209"/>
  <c r="I208"/>
  <c r="I207"/>
  <c r="I206"/>
  <c r="I205"/>
  <c r="I204"/>
  <c r="I203"/>
  <c r="I202"/>
  <c r="I201"/>
  <c r="I200"/>
  <c r="I199"/>
  <c r="I198"/>
  <c r="I197"/>
  <c r="I196"/>
  <c r="I195"/>
  <c r="I194"/>
  <c r="I193"/>
  <c r="I192"/>
  <c r="I191"/>
  <c r="I190"/>
  <c r="I189"/>
  <c r="I188"/>
  <c r="I187"/>
  <c r="I184"/>
  <c r="I183"/>
  <c r="I182"/>
  <c r="I181"/>
  <c r="I180"/>
  <c r="I179"/>
  <c r="I178"/>
  <c r="I177"/>
  <c r="I176"/>
  <c r="I175"/>
  <c r="I3247" l="1"/>
  <c r="I3249" s="1"/>
  <c r="I3251" s="1"/>
  <c r="I3253" s="1"/>
  <c r="I3255" s="1"/>
  <c r="I3257" s="1"/>
  <c r="I3259" s="1"/>
  <c r="I3261" s="1"/>
  <c r="I3263" s="1"/>
  <c r="I3265" s="1"/>
  <c r="I3274" s="1"/>
  <c r="P3317"/>
  <c r="Q3317" s="1"/>
  <c r="I3130"/>
  <c r="I3275" s="1"/>
  <c r="I58"/>
  <c r="I59" s="1"/>
  <c r="I20"/>
  <c r="I21" s="1"/>
  <c r="I121"/>
  <c r="I120"/>
  <c r="I119"/>
  <c r="I118"/>
  <c r="I117"/>
  <c r="I116"/>
  <c r="I115"/>
  <c r="I114"/>
  <c r="I113"/>
  <c r="I112"/>
  <c r="I111"/>
  <c r="I110"/>
  <c r="I109"/>
  <c r="I108"/>
  <c r="I107"/>
  <c r="I106"/>
  <c r="I105"/>
  <c r="I104"/>
  <c r="I1600"/>
  <c r="I746"/>
  <c r="I680"/>
  <c r="I679"/>
  <c r="I678"/>
  <c r="I677"/>
  <c r="I506"/>
  <c r="I503"/>
  <c r="I502"/>
  <c r="I501"/>
  <c r="I487"/>
  <c r="I439"/>
  <c r="I438"/>
  <c r="I437"/>
  <c r="I436"/>
  <c r="I435"/>
  <c r="N3" l="1"/>
  <c r="N4"/>
  <c r="I10"/>
  <c r="K11"/>
  <c r="I12"/>
  <c r="K12"/>
  <c r="L12" s="1"/>
  <c r="N23"/>
  <c r="O23"/>
  <c r="P23"/>
  <c r="I98"/>
  <c r="I99"/>
  <c r="I100"/>
  <c r="I101"/>
  <c r="I102"/>
  <c r="I103"/>
  <c r="I122"/>
  <c r="I123"/>
  <c r="I124"/>
  <c r="I125"/>
  <c r="I126"/>
  <c r="N126"/>
  <c r="O126" s="1"/>
  <c r="I127"/>
  <c r="I128"/>
  <c r="N128"/>
  <c r="O128" s="1"/>
  <c r="I129"/>
  <c r="N129"/>
  <c r="O129" s="1"/>
  <c r="P129"/>
  <c r="Q129" s="1"/>
  <c r="I165"/>
  <c r="I166"/>
  <c r="I167"/>
  <c r="I168"/>
  <c r="I169"/>
  <c r="N169"/>
  <c r="I170"/>
  <c r="N304"/>
  <c r="O304" s="1"/>
  <c r="XEQ306"/>
  <c r="I312"/>
  <c r="K312"/>
  <c r="I314"/>
  <c r="N314"/>
  <c r="I315"/>
  <c r="N315"/>
  <c r="O315" s="1"/>
  <c r="P315" s="1"/>
  <c r="Q315"/>
  <c r="R315"/>
  <c r="I316"/>
  <c r="I317"/>
  <c r="I319"/>
  <c r="I320"/>
  <c r="I321"/>
  <c r="I322"/>
  <c r="K322"/>
  <c r="I323"/>
  <c r="I331"/>
  <c r="N331"/>
  <c r="I332"/>
  <c r="N332"/>
  <c r="I333"/>
  <c r="N333"/>
  <c r="I335"/>
  <c r="I336"/>
  <c r="I337"/>
  <c r="I338"/>
  <c r="I339"/>
  <c r="I340"/>
  <c r="I341"/>
  <c r="N341"/>
  <c r="I342"/>
  <c r="N342"/>
  <c r="I343"/>
  <c r="I344"/>
  <c r="N344"/>
  <c r="I345"/>
  <c r="N345"/>
  <c r="I347"/>
  <c r="I348"/>
  <c r="I349"/>
  <c r="I350"/>
  <c r="I351"/>
  <c r="I352"/>
  <c r="I353"/>
  <c r="I354"/>
  <c r="I355"/>
  <c r="I357"/>
  <c r="N357"/>
  <c r="O357" s="1"/>
  <c r="I358"/>
  <c r="N358"/>
  <c r="O358" s="1"/>
  <c r="I359"/>
  <c r="N359"/>
  <c r="O359" s="1"/>
  <c r="I361"/>
  <c r="I362"/>
  <c r="I364"/>
  <c r="I365"/>
  <c r="I366"/>
  <c r="I367"/>
  <c r="I368"/>
  <c r="I369"/>
  <c r="N369"/>
  <c r="O369" s="1"/>
  <c r="I370"/>
  <c r="N370"/>
  <c r="O370" s="1"/>
  <c r="I371"/>
  <c r="N371"/>
  <c r="O371" s="1"/>
  <c r="I373"/>
  <c r="I408"/>
  <c r="N408"/>
  <c r="I409"/>
  <c r="N409"/>
  <c r="I410"/>
  <c r="I411"/>
  <c r="N411"/>
  <c r="I412"/>
  <c r="XEQ416"/>
  <c r="I424"/>
  <c r="N424"/>
  <c r="O424"/>
  <c r="I425"/>
  <c r="N425"/>
  <c r="Q425"/>
  <c r="R425"/>
  <c r="I426"/>
  <c r="I427"/>
  <c r="I429"/>
  <c r="I430"/>
  <c r="I431"/>
  <c r="I432"/>
  <c r="I433"/>
  <c r="I441"/>
  <c r="N441"/>
  <c r="I442"/>
  <c r="N442"/>
  <c r="I443"/>
  <c r="N443"/>
  <c r="I444"/>
  <c r="N444"/>
  <c r="I445"/>
  <c r="N445"/>
  <c r="I446"/>
  <c r="N446"/>
  <c r="I447"/>
  <c r="N447"/>
  <c r="I449"/>
  <c r="I450"/>
  <c r="I451"/>
  <c r="I452"/>
  <c r="I453"/>
  <c r="I454"/>
  <c r="I455"/>
  <c r="I456"/>
  <c r="I457"/>
  <c r="I458"/>
  <c r="I459"/>
  <c r="N459"/>
  <c r="I460"/>
  <c r="N460"/>
  <c r="I461"/>
  <c r="I462"/>
  <c r="I463"/>
  <c r="N463"/>
  <c r="I464"/>
  <c r="I465"/>
  <c r="I466"/>
  <c r="I467"/>
  <c r="I468"/>
  <c r="N468"/>
  <c r="I469"/>
  <c r="I470"/>
  <c r="I471"/>
  <c r="I472"/>
  <c r="I473"/>
  <c r="N473"/>
  <c r="I475"/>
  <c r="I476"/>
  <c r="I477"/>
  <c r="I478"/>
  <c r="I479"/>
  <c r="I480"/>
  <c r="I481"/>
  <c r="I482"/>
  <c r="I483"/>
  <c r="I484"/>
  <c r="I485"/>
  <c r="I486"/>
  <c r="I488"/>
  <c r="I505"/>
  <c r="N507"/>
  <c r="O507" s="1"/>
  <c r="I541"/>
  <c r="I542"/>
  <c r="I543"/>
  <c r="I544"/>
  <c r="I545"/>
  <c r="I567"/>
  <c r="N567"/>
  <c r="I573"/>
  <c r="I574"/>
  <c r="K574"/>
  <c r="I576"/>
  <c r="I577"/>
  <c r="I578"/>
  <c r="N578"/>
  <c r="I583"/>
  <c r="N583"/>
  <c r="O583"/>
  <c r="I584"/>
  <c r="N584"/>
  <c r="I586"/>
  <c r="I587"/>
  <c r="O587"/>
  <c r="I588"/>
  <c r="O588"/>
  <c r="I590"/>
  <c r="I591"/>
  <c r="I592"/>
  <c r="O593"/>
  <c r="P593"/>
  <c r="I594"/>
  <c r="I595"/>
  <c r="N595"/>
  <c r="O595" s="1"/>
  <c r="P595"/>
  <c r="P596" s="1"/>
  <c r="I596"/>
  <c r="N596"/>
  <c r="O596" s="1"/>
  <c r="I597"/>
  <c r="N597"/>
  <c r="O597" s="1"/>
  <c r="I599"/>
  <c r="N599"/>
  <c r="O599"/>
  <c r="I600"/>
  <c r="I601"/>
  <c r="I602"/>
  <c r="I603"/>
  <c r="I604"/>
  <c r="N604"/>
  <c r="I605"/>
  <c r="N605"/>
  <c r="I606"/>
  <c r="I607"/>
  <c r="I608"/>
  <c r="I609"/>
  <c r="I611"/>
  <c r="I612"/>
  <c r="I614"/>
  <c r="N614"/>
  <c r="O614"/>
  <c r="I615"/>
  <c r="N615"/>
  <c r="I616"/>
  <c r="I618"/>
  <c r="N618"/>
  <c r="O618"/>
  <c r="I620"/>
  <c r="I621"/>
  <c r="I626"/>
  <c r="N626"/>
  <c r="O626"/>
  <c r="I627"/>
  <c r="N627"/>
  <c r="O627" s="1"/>
  <c r="I628"/>
  <c r="I629"/>
  <c r="I630"/>
  <c r="I631"/>
  <c r="N631"/>
  <c r="O631"/>
  <c r="I632"/>
  <c r="I633"/>
  <c r="N633"/>
  <c r="O633"/>
  <c r="I634"/>
  <c r="I635"/>
  <c r="I636"/>
  <c r="I637"/>
  <c r="N637"/>
  <c r="O637"/>
  <c r="I638"/>
  <c r="I639"/>
  <c r="I640"/>
  <c r="N640"/>
  <c r="O640"/>
  <c r="I641"/>
  <c r="I642"/>
  <c r="I643"/>
  <c r="N643"/>
  <c r="I644"/>
  <c r="N644"/>
  <c r="I645"/>
  <c r="N645"/>
  <c r="I646"/>
  <c r="N646"/>
  <c r="I647"/>
  <c r="I648"/>
  <c r="I649"/>
  <c r="I650"/>
  <c r="I651"/>
  <c r="I652"/>
  <c r="I653"/>
  <c r="I654"/>
  <c r="I655"/>
  <c r="I656"/>
  <c r="I657"/>
  <c r="I658"/>
  <c r="I659"/>
  <c r="I660"/>
  <c r="I661"/>
  <c r="I662"/>
  <c r="I663"/>
  <c r="I664"/>
  <c r="I665"/>
  <c r="I673"/>
  <c r="I674"/>
  <c r="I675"/>
  <c r="I676"/>
  <c r="I681"/>
  <c r="I682"/>
  <c r="I683"/>
  <c r="I684"/>
  <c r="I685"/>
  <c r="I686"/>
  <c r="I687"/>
  <c r="I688"/>
  <c r="I689"/>
  <c r="I690"/>
  <c r="I691"/>
  <c r="I693"/>
  <c r="N693"/>
  <c r="I694"/>
  <c r="N694"/>
  <c r="I695"/>
  <c r="N695"/>
  <c r="I696"/>
  <c r="N696"/>
  <c r="I697"/>
  <c r="N697"/>
  <c r="I699"/>
  <c r="I700"/>
  <c r="I701"/>
  <c r="I702"/>
  <c r="I703"/>
  <c r="I704"/>
  <c r="I705"/>
  <c r="I707"/>
  <c r="I708"/>
  <c r="I709"/>
  <c r="I710"/>
  <c r="I711"/>
  <c r="I712"/>
  <c r="N712"/>
  <c r="I714"/>
  <c r="I715"/>
  <c r="I716"/>
  <c r="I717"/>
  <c r="I718"/>
  <c r="I719"/>
  <c r="I720"/>
  <c r="I747"/>
  <c r="I751"/>
  <c r="N751"/>
  <c r="O751"/>
  <c r="I752"/>
  <c r="I753"/>
  <c r="I754"/>
  <c r="I755"/>
  <c r="I756"/>
  <c r="I757"/>
  <c r="I758"/>
  <c r="I759"/>
  <c r="N759"/>
  <c r="I760"/>
  <c r="I761"/>
  <c r="I762"/>
  <c r="I763"/>
  <c r="I765"/>
  <c r="I766"/>
  <c r="I767"/>
  <c r="I768"/>
  <c r="I769"/>
  <c r="I770"/>
  <c r="I771"/>
  <c r="I772"/>
  <c r="I773"/>
  <c r="N773"/>
  <c r="I774"/>
  <c r="I776"/>
  <c r="N776"/>
  <c r="O776"/>
  <c r="I777"/>
  <c r="N777"/>
  <c r="O777"/>
  <c r="I778"/>
  <c r="I779"/>
  <c r="I780"/>
  <c r="I781"/>
  <c r="I783"/>
  <c r="N783"/>
  <c r="O783"/>
  <c r="I788"/>
  <c r="I789"/>
  <c r="I790"/>
  <c r="I791"/>
  <c r="I792"/>
  <c r="I793"/>
  <c r="I794"/>
  <c r="I795"/>
  <c r="I796"/>
  <c r="I797"/>
  <c r="I801"/>
  <c r="I802"/>
  <c r="I803"/>
  <c r="I804"/>
  <c r="I805"/>
  <c r="I806"/>
  <c r="I807"/>
  <c r="I808"/>
  <c r="I809"/>
  <c r="I810"/>
  <c r="I811"/>
  <c r="I812"/>
  <c r="I813"/>
  <c r="I814"/>
  <c r="I815"/>
  <c r="I816"/>
  <c r="I817"/>
  <c r="I818"/>
  <c r="I819"/>
  <c r="I820"/>
  <c r="I821"/>
  <c r="I822"/>
  <c r="I823"/>
  <c r="I824"/>
  <c r="I825"/>
  <c r="I826"/>
  <c r="I847"/>
  <c r="I848"/>
  <c r="I849"/>
  <c r="I850"/>
  <c r="I851"/>
  <c r="I852"/>
  <c r="I853"/>
  <c r="I854"/>
  <c r="I855"/>
  <c r="I856"/>
  <c r="I857"/>
  <c r="I858"/>
  <c r="I859"/>
  <c r="I860"/>
  <c r="I861"/>
  <c r="I862"/>
  <c r="I863"/>
  <c r="I864"/>
  <c r="I865"/>
  <c r="I866"/>
  <c r="I867"/>
  <c r="I868"/>
  <c r="I869"/>
  <c r="I870"/>
  <c r="I871"/>
  <c r="I872"/>
  <c r="I874"/>
  <c r="I875"/>
  <c r="I884"/>
  <c r="I885"/>
  <c r="I886"/>
  <c r="I887"/>
  <c r="I888"/>
  <c r="N888"/>
  <c r="I889"/>
  <c r="I890"/>
  <c r="I942"/>
  <c r="I943"/>
  <c r="I944"/>
  <c r="I945"/>
  <c r="I1002"/>
  <c r="I1003" s="1"/>
  <c r="I1007"/>
  <c r="I1008"/>
  <c r="I1010"/>
  <c r="I1011"/>
  <c r="I1013"/>
  <c r="I1014"/>
  <c r="I1015"/>
  <c r="I1016"/>
  <c r="N1016"/>
  <c r="O1016" s="1"/>
  <c r="P1016"/>
  <c r="I1018"/>
  <c r="I1041"/>
  <c r="I1042" s="1"/>
  <c r="I1046"/>
  <c r="I1048"/>
  <c r="I1072"/>
  <c r="I1073"/>
  <c r="I1078"/>
  <c r="I1081"/>
  <c r="I1082"/>
  <c r="I1085"/>
  <c r="I1086"/>
  <c r="I1090"/>
  <c r="I1091"/>
  <c r="I1112"/>
  <c r="I1113"/>
  <c r="I1145"/>
  <c r="I1146"/>
  <c r="I1150"/>
  <c r="I1151"/>
  <c r="I1153"/>
  <c r="I1154"/>
  <c r="I1156"/>
  <c r="I1157"/>
  <c r="N1157"/>
  <c r="I1158"/>
  <c r="I1159"/>
  <c r="N1159"/>
  <c r="I1161"/>
  <c r="P1222"/>
  <c r="Q1222"/>
  <c r="T1222"/>
  <c r="P1223"/>
  <c r="P1224"/>
  <c r="O1309"/>
  <c r="O1310" s="1"/>
  <c r="I1313"/>
  <c r="N1313"/>
  <c r="I1314"/>
  <c r="I1315"/>
  <c r="N1315"/>
  <c r="I1316"/>
  <c r="I1317"/>
  <c r="N1317"/>
  <c r="I1318"/>
  <c r="I1319"/>
  <c r="N1319"/>
  <c r="I1320"/>
  <c r="I1321"/>
  <c r="I1322"/>
  <c r="N1322"/>
  <c r="I1323"/>
  <c r="I1324"/>
  <c r="I1325"/>
  <c r="N1325"/>
  <c r="I1326"/>
  <c r="I1327"/>
  <c r="N1327"/>
  <c r="I1328"/>
  <c r="I1329"/>
  <c r="I1330"/>
  <c r="N1330"/>
  <c r="I1331"/>
  <c r="I1332"/>
  <c r="N1332"/>
  <c r="I1333"/>
  <c r="I1334"/>
  <c r="I1335"/>
  <c r="N1335"/>
  <c r="I1336"/>
  <c r="I1337"/>
  <c r="N1337"/>
  <c r="I1338"/>
  <c r="I1339"/>
  <c r="I1340"/>
  <c r="F1341"/>
  <c r="I1341" s="1"/>
  <c r="I1342"/>
  <c r="I1343"/>
  <c r="I1344"/>
  <c r="I1345"/>
  <c r="N1345"/>
  <c r="I1346"/>
  <c r="F1347"/>
  <c r="I1347" s="1"/>
  <c r="I1348"/>
  <c r="N1348"/>
  <c r="I1349"/>
  <c r="I1350"/>
  <c r="I1351"/>
  <c r="N1351"/>
  <c r="I1352"/>
  <c r="I1353"/>
  <c r="N1353"/>
  <c r="I1354"/>
  <c r="N1354"/>
  <c r="I1355"/>
  <c r="I1356"/>
  <c r="I1357"/>
  <c r="I1358"/>
  <c r="N1358"/>
  <c r="I1359"/>
  <c r="I1360"/>
  <c r="I1361"/>
  <c r="I1362"/>
  <c r="I1363"/>
  <c r="I1364"/>
  <c r="I1365"/>
  <c r="I1366"/>
  <c r="N1366"/>
  <c r="I1367"/>
  <c r="I1368"/>
  <c r="N1368"/>
  <c r="I1369"/>
  <c r="I1370"/>
  <c r="N1370"/>
  <c r="I1371"/>
  <c r="N1371"/>
  <c r="I1372"/>
  <c r="I1373"/>
  <c r="I1374"/>
  <c r="I1375"/>
  <c r="I1376"/>
  <c r="N1376"/>
  <c r="I1377"/>
  <c r="I1378"/>
  <c r="I1379"/>
  <c r="N1379"/>
  <c r="I1380"/>
  <c r="F1381"/>
  <c r="I1381" s="1"/>
  <c r="I1382"/>
  <c r="N1382"/>
  <c r="I1383"/>
  <c r="F1384"/>
  <c r="I1384" s="1"/>
  <c r="I1385"/>
  <c r="N1385"/>
  <c r="I1386"/>
  <c r="N1386"/>
  <c r="I1387"/>
  <c r="N1387"/>
  <c r="I1388"/>
  <c r="I1389"/>
  <c r="N1389"/>
  <c r="I1390"/>
  <c r="N1390"/>
  <c r="I1391"/>
  <c r="I1392"/>
  <c r="N1392"/>
  <c r="I1401"/>
  <c r="N1401"/>
  <c r="I1402"/>
  <c r="I1403"/>
  <c r="N1403"/>
  <c r="O1403"/>
  <c r="I1404"/>
  <c r="I1405"/>
  <c r="N1405"/>
  <c r="O1405" s="1"/>
  <c r="I1406"/>
  <c r="N1406"/>
  <c r="I1407"/>
  <c r="I1408"/>
  <c r="N1408"/>
  <c r="I1409"/>
  <c r="I1410"/>
  <c r="I1412"/>
  <c r="N1412"/>
  <c r="I1413"/>
  <c r="I1414"/>
  <c r="I1415"/>
  <c r="I1416"/>
  <c r="I1417"/>
  <c r="N1417"/>
  <c r="I1418"/>
  <c r="I1419"/>
  <c r="I1420"/>
  <c r="I1422"/>
  <c r="N1422"/>
  <c r="O1422"/>
  <c r="I1423"/>
  <c r="N1423"/>
  <c r="I1424"/>
  <c r="I1425"/>
  <c r="I1426"/>
  <c r="N1426"/>
  <c r="I1428"/>
  <c r="N1428"/>
  <c r="I1429"/>
  <c r="I1430"/>
  <c r="I1431"/>
  <c r="I1432"/>
  <c r="I1433"/>
  <c r="F1434"/>
  <c r="I1434" s="1"/>
  <c r="I1435"/>
  <c r="I1436"/>
  <c r="I1437"/>
  <c r="I1439"/>
  <c r="N1439"/>
  <c r="I1440"/>
  <c r="I1441"/>
  <c r="I1442"/>
  <c r="I1443"/>
  <c r="N1443"/>
  <c r="I1444"/>
  <c r="I1445"/>
  <c r="I1446"/>
  <c r="I1447"/>
  <c r="N1447"/>
  <c r="I1449"/>
  <c r="N1449"/>
  <c r="I1450"/>
  <c r="F1451"/>
  <c r="I1451" s="1"/>
  <c r="I1452"/>
  <c r="I1453"/>
  <c r="N1453"/>
  <c r="O1453"/>
  <c r="I1455"/>
  <c r="N1455"/>
  <c r="I1456"/>
  <c r="I1457"/>
  <c r="I1458"/>
  <c r="I1459"/>
  <c r="I1460"/>
  <c r="N1460"/>
  <c r="I1461"/>
  <c r="I1462"/>
  <c r="F1463"/>
  <c r="I1463" s="1"/>
  <c r="I1464"/>
  <c r="N1464"/>
  <c r="I1465"/>
  <c r="I1466"/>
  <c r="I1467"/>
  <c r="N1467"/>
  <c r="I1470"/>
  <c r="N1470"/>
  <c r="I1471"/>
  <c r="I1472"/>
  <c r="N1472"/>
  <c r="I1473"/>
  <c r="I1474"/>
  <c r="N1474"/>
  <c r="I1475"/>
  <c r="I1476"/>
  <c r="I1477"/>
  <c r="I1478"/>
  <c r="I1479"/>
  <c r="I1480"/>
  <c r="I1481"/>
  <c r="I1482"/>
  <c r="I1483"/>
  <c r="N1483"/>
  <c r="I1484"/>
  <c r="I1485"/>
  <c r="I1486"/>
  <c r="I1487"/>
  <c r="I1488"/>
  <c r="I1489"/>
  <c r="I1490"/>
  <c r="I1491"/>
  <c r="I1492"/>
  <c r="I1494"/>
  <c r="I1495"/>
  <c r="I1496"/>
  <c r="I1497"/>
  <c r="I1498"/>
  <c r="I1499"/>
  <c r="I1500"/>
  <c r="N1500"/>
  <c r="I1501"/>
  <c r="I1502"/>
  <c r="N1502"/>
  <c r="I1503"/>
  <c r="I1504"/>
  <c r="I1505"/>
  <c r="I1506"/>
  <c r="I1507"/>
  <c r="I1509"/>
  <c r="N1509"/>
  <c r="I1510"/>
  <c r="I1511"/>
  <c r="N1511"/>
  <c r="I1512"/>
  <c r="N1512"/>
  <c r="I1513"/>
  <c r="I1514"/>
  <c r="N1514"/>
  <c r="I1535"/>
  <c r="N1535"/>
  <c r="O1535"/>
  <c r="I1536"/>
  <c r="F1537"/>
  <c r="I1537" s="1"/>
  <c r="I1538"/>
  <c r="F1539"/>
  <c r="I1539" s="1"/>
  <c r="I1540"/>
  <c r="F1541"/>
  <c r="I1541" s="1"/>
  <c r="I1544"/>
  <c r="I1546"/>
  <c r="N1546"/>
  <c r="O1546" s="1"/>
  <c r="I1547"/>
  <c r="I1548"/>
  <c r="O1548"/>
  <c r="I1549"/>
  <c r="I1550"/>
  <c r="I1551"/>
  <c r="I1552"/>
  <c r="I1553"/>
  <c r="I1554"/>
  <c r="I1555"/>
  <c r="I1556"/>
  <c r="I1557"/>
  <c r="I1558"/>
  <c r="I1559"/>
  <c r="I1560"/>
  <c r="I1561"/>
  <c r="N1561"/>
  <c r="I1562"/>
  <c r="I1563"/>
  <c r="N1563"/>
  <c r="I1564"/>
  <c r="I1565"/>
  <c r="I1566"/>
  <c r="I1567"/>
  <c r="I1568"/>
  <c r="I1569"/>
  <c r="N1569"/>
  <c r="I1570"/>
  <c r="I1571"/>
  <c r="N1571"/>
  <c r="O1571"/>
  <c r="P1571"/>
  <c r="I1572"/>
  <c r="N1572"/>
  <c r="O1572" s="1"/>
  <c r="I1573"/>
  <c r="N1573"/>
  <c r="O1573" s="1"/>
  <c r="S1573"/>
  <c r="I1574"/>
  <c r="I1575"/>
  <c r="I1576"/>
  <c r="I1577"/>
  <c r="O1577"/>
  <c r="P1577" s="1"/>
  <c r="Q1577" s="1"/>
  <c r="I1578"/>
  <c r="P1578"/>
  <c r="Q1578" s="1"/>
  <c r="I1579"/>
  <c r="N1579"/>
  <c r="I1580"/>
  <c r="N1580"/>
  <c r="O1580"/>
  <c r="I1581"/>
  <c r="N1581"/>
  <c r="I1582"/>
  <c r="N1582"/>
  <c r="I1583"/>
  <c r="N1583"/>
  <c r="I1584"/>
  <c r="N1584"/>
  <c r="I1585"/>
  <c r="N1585"/>
  <c r="I1586"/>
  <c r="N1586"/>
  <c r="O1586"/>
  <c r="I1587"/>
  <c r="N1587"/>
  <c r="I1588"/>
  <c r="N1588"/>
  <c r="I1589"/>
  <c r="N1589"/>
  <c r="I1590"/>
  <c r="N1590"/>
  <c r="I1592"/>
  <c r="N1592"/>
  <c r="I1593"/>
  <c r="I1594"/>
  <c r="N1594"/>
  <c r="I1595"/>
  <c r="N1595"/>
  <c r="I1596"/>
  <c r="I1597"/>
  <c r="N1597"/>
  <c r="I1599"/>
  <c r="N1599"/>
  <c r="O1599"/>
  <c r="P1599" s="1"/>
  <c r="I1601"/>
  <c r="N1601"/>
  <c r="I1602"/>
  <c r="N1602"/>
  <c r="I1603"/>
  <c r="N1603"/>
  <c r="I1604"/>
  <c r="N1604"/>
  <c r="O1604"/>
  <c r="I1605"/>
  <c r="N1605"/>
  <c r="O1605"/>
  <c r="I1606"/>
  <c r="N1606"/>
  <c r="I1607"/>
  <c r="N1607"/>
  <c r="I1608"/>
  <c r="N1608"/>
  <c r="O1608"/>
  <c r="I1609"/>
  <c r="N1609"/>
  <c r="O1609"/>
  <c r="I1610"/>
  <c r="I1611"/>
  <c r="N1611"/>
  <c r="I1612"/>
  <c r="I1786"/>
  <c r="I1787" s="1"/>
  <c r="I1788" s="1"/>
  <c r="I1791"/>
  <c r="I1792"/>
  <c r="I1794"/>
  <c r="I1795"/>
  <c r="I1797"/>
  <c r="I1798"/>
  <c r="I1800"/>
  <c r="I1801"/>
  <c r="I1805"/>
  <c r="I1808" s="1"/>
  <c r="I1809" s="1"/>
  <c r="I1815"/>
  <c r="I1816"/>
  <c r="I1817"/>
  <c r="I1818"/>
  <c r="I1819"/>
  <c r="O1854"/>
  <c r="P1854" s="1"/>
  <c r="I1857"/>
  <c r="I1858"/>
  <c r="I1859"/>
  <c r="I1860"/>
  <c r="N1860"/>
  <c r="O1860"/>
  <c r="O1903"/>
  <c r="P1903" s="1"/>
  <c r="I1906"/>
  <c r="I1909"/>
  <c r="I1910"/>
  <c r="I1913"/>
  <c r="I1914"/>
  <c r="I1928"/>
  <c r="I1930"/>
  <c r="I1938"/>
  <c r="I1950"/>
  <c r="I1951"/>
  <c r="N1951"/>
  <c r="I1952"/>
  <c r="I1957"/>
  <c r="I1958"/>
  <c r="N1958"/>
  <c r="O1958" s="1"/>
  <c r="I1960"/>
  <c r="N1960"/>
  <c r="I1961"/>
  <c r="N1961"/>
  <c r="I1962"/>
  <c r="N1962"/>
  <c r="I1963"/>
  <c r="N1963"/>
  <c r="I1964"/>
  <c r="N1964"/>
  <c r="I1965"/>
  <c r="N1965"/>
  <c r="I1966"/>
  <c r="N1966"/>
  <c r="I1968"/>
  <c r="I1972"/>
  <c r="I1973"/>
  <c r="I1974"/>
  <c r="I1975"/>
  <c r="I1976"/>
  <c r="I1977"/>
  <c r="I1978"/>
  <c r="I1979"/>
  <c r="I1981"/>
  <c r="I1982"/>
  <c r="I1983"/>
  <c r="I1984"/>
  <c r="I1985"/>
  <c r="I1986"/>
  <c r="I1987"/>
  <c r="I1989"/>
  <c r="I1990"/>
  <c r="I1992"/>
  <c r="N1992"/>
  <c r="I1993"/>
  <c r="I1994"/>
  <c r="I1995"/>
  <c r="I1997"/>
  <c r="I1998" s="1"/>
  <c r="I2000"/>
  <c r="I2001"/>
  <c r="I2005"/>
  <c r="I2008"/>
  <c r="I2009"/>
  <c r="I2010"/>
  <c r="I2011"/>
  <c r="I2012"/>
  <c r="I2013"/>
  <c r="I2014"/>
  <c r="I2017"/>
  <c r="I2018"/>
  <c r="I2019"/>
  <c r="I2020"/>
  <c r="I2021"/>
  <c r="I2022"/>
  <c r="I2023"/>
  <c r="I2026"/>
  <c r="I2028"/>
  <c r="I2031"/>
  <c r="I2035"/>
  <c r="I2036" s="1"/>
  <c r="M2736"/>
  <c r="K2740"/>
  <c r="L2740" s="1"/>
  <c r="K2741"/>
  <c r="L2741" s="1"/>
  <c r="L2742"/>
  <c r="K2743"/>
  <c r="L2743" s="1"/>
  <c r="K2744"/>
  <c r="L2744" s="1"/>
  <c r="K2745"/>
  <c r="L2745" s="1"/>
  <c r="K2746"/>
  <c r="L2746" s="1"/>
  <c r="K2747"/>
  <c r="L2747" s="1"/>
  <c r="I2758"/>
  <c r="I2759"/>
  <c r="I2760"/>
  <c r="I2761"/>
  <c r="I2762"/>
  <c r="I2763"/>
  <c r="I2786"/>
  <c r="I2787"/>
  <c r="I2788"/>
  <c r="I2790"/>
  <c r="I2791"/>
  <c r="I2792"/>
  <c r="I2796"/>
  <c r="I2797"/>
  <c r="I2798"/>
  <c r="I2800"/>
  <c r="I2801"/>
  <c r="I2807"/>
  <c r="K2807"/>
  <c r="L2807" s="1"/>
  <c r="N2807"/>
  <c r="O2807"/>
  <c r="I2808"/>
  <c r="N2808"/>
  <c r="I2809"/>
  <c r="N2809"/>
  <c r="O2809"/>
  <c r="I2810"/>
  <c r="N2810"/>
  <c r="I2813"/>
  <c r="K2813"/>
  <c r="I2814"/>
  <c r="I2815"/>
  <c r="I2816"/>
  <c r="I2817"/>
  <c r="I2818"/>
  <c r="I2819"/>
  <c r="N2819"/>
  <c r="I2820"/>
  <c r="N2820"/>
  <c r="I2842"/>
  <c r="N2842"/>
  <c r="I2843"/>
  <c r="N2843"/>
  <c r="I2844"/>
  <c r="I2845"/>
  <c r="I2846"/>
  <c r="I2847"/>
  <c r="I2848"/>
  <c r="I2849"/>
  <c r="N2849"/>
  <c r="I2850"/>
  <c r="N2850"/>
  <c r="F2851"/>
  <c r="I2851" s="1"/>
  <c r="I2853"/>
  <c r="I2855"/>
  <c r="N2855"/>
  <c r="O2855"/>
  <c r="I2856"/>
  <c r="I2857"/>
  <c r="I2858"/>
  <c r="I2862"/>
  <c r="N2862"/>
  <c r="N2863" s="1"/>
  <c r="O2862"/>
  <c r="I2863"/>
  <c r="O2863"/>
  <c r="O2864"/>
  <c r="P2864" s="1"/>
  <c r="I2877"/>
  <c r="I2878" s="1"/>
  <c r="N2877"/>
  <c r="O2877" s="1"/>
  <c r="I2880"/>
  <c r="I2881" s="1"/>
  <c r="I2883"/>
  <c r="I2887"/>
  <c r="N2887"/>
  <c r="I2896"/>
  <c r="N2896"/>
  <c r="I2897"/>
  <c r="N2897"/>
  <c r="I2898"/>
  <c r="I2953"/>
  <c r="N2953"/>
  <c r="I2954"/>
  <c r="I2955"/>
  <c r="I2956"/>
  <c r="I2957"/>
  <c r="I2958"/>
  <c r="I2959"/>
  <c r="N2959"/>
  <c r="I2960"/>
  <c r="I2961"/>
  <c r="I2962"/>
  <c r="I2963"/>
  <c r="I2964"/>
  <c r="F2965"/>
  <c r="I2965" s="1"/>
  <c r="I2966"/>
  <c r="I2967"/>
  <c r="I2968"/>
  <c r="I2972"/>
  <c r="I2973"/>
  <c r="I2974"/>
  <c r="I2975"/>
  <c r="N2975"/>
  <c r="I2976"/>
  <c r="I2977"/>
  <c r="I2979"/>
  <c r="I2980"/>
  <c r="I2981"/>
  <c r="N2981"/>
  <c r="I2982"/>
  <c r="I2983"/>
  <c r="I2984"/>
  <c r="I2986"/>
  <c r="I2987"/>
  <c r="I2988"/>
  <c r="N2988"/>
  <c r="I2989"/>
  <c r="I2990"/>
  <c r="I2992"/>
  <c r="I2993"/>
  <c r="I2994"/>
  <c r="N2994"/>
  <c r="I2995"/>
  <c r="I2996"/>
  <c r="I2997"/>
  <c r="I2999"/>
  <c r="I3000"/>
  <c r="I3001"/>
  <c r="N3001"/>
  <c r="I3002"/>
  <c r="I3003"/>
  <c r="I3004"/>
  <c r="I3005"/>
  <c r="I3007"/>
  <c r="I3008"/>
  <c r="I3009"/>
  <c r="N3009"/>
  <c r="I3010"/>
  <c r="I3011"/>
  <c r="I3013"/>
  <c r="I3014"/>
  <c r="I3015"/>
  <c r="N3015"/>
  <c r="I3016"/>
  <c r="I3017"/>
  <c r="I3018"/>
  <c r="I3043"/>
  <c r="N3043"/>
  <c r="I3340"/>
  <c r="I3341"/>
  <c r="I3388"/>
  <c r="N3388"/>
  <c r="I3389"/>
  <c r="N3389"/>
  <c r="O3389"/>
  <c r="P3389" s="1"/>
  <c r="I3390"/>
  <c r="I3391"/>
  <c r="I3392"/>
  <c r="I3393"/>
  <c r="N3393"/>
  <c r="I3394"/>
  <c r="I3395"/>
  <c r="I3396"/>
  <c r="I3397"/>
  <c r="N3407"/>
  <c r="O3407" s="1"/>
  <c r="P3407" s="1"/>
  <c r="I3411"/>
  <c r="I3412"/>
  <c r="I3413"/>
  <c r="I3414"/>
  <c r="I3415"/>
  <c r="I3416"/>
  <c r="I3417"/>
  <c r="I3418"/>
  <c r="I3422"/>
  <c r="N3422"/>
  <c r="I3423"/>
  <c r="O3424"/>
  <c r="P3424" s="1"/>
  <c r="I3435"/>
  <c r="K3435"/>
  <c r="I3436"/>
  <c r="I3437"/>
  <c r="I3438"/>
  <c r="I3440"/>
  <c r="I3441"/>
  <c r="I3442"/>
  <c r="I3443"/>
  <c r="I3444"/>
  <c r="I3445"/>
  <c r="I3447"/>
  <c r="I3452"/>
  <c r="I3453"/>
  <c r="I3454"/>
  <c r="I3455"/>
  <c r="I3456"/>
  <c r="I3457"/>
  <c r="I3459"/>
  <c r="I3460"/>
  <c r="I3461"/>
  <c r="I3463"/>
  <c r="I3475"/>
  <c r="I3476"/>
  <c r="I3478"/>
  <c r="I3479"/>
  <c r="I3480"/>
  <c r="I3481"/>
  <c r="I3482"/>
  <c r="I3487"/>
  <c r="I3488"/>
  <c r="I3489"/>
  <c r="I3491"/>
  <c r="I3492"/>
  <c r="I3493"/>
  <c r="I3495"/>
  <c r="I3497"/>
  <c r="I3498"/>
  <c r="I3499"/>
  <c r="I3502"/>
  <c r="I3503"/>
  <c r="I3506"/>
  <c r="I3507"/>
  <c r="I3508"/>
  <c r="I3509"/>
  <c r="I3510"/>
  <c r="I3513"/>
  <c r="I3514"/>
  <c r="I3515"/>
  <c r="I3519"/>
  <c r="I3520"/>
  <c r="I3521"/>
  <c r="I3522"/>
  <c r="I3556"/>
  <c r="I3557"/>
  <c r="I3560"/>
  <c r="I3562"/>
  <c r="O3562"/>
  <c r="P3562"/>
  <c r="I3565"/>
  <c r="I3568"/>
  <c r="I3569"/>
  <c r="I3573"/>
  <c r="I3574"/>
  <c r="I3577"/>
  <c r="I3578"/>
  <c r="I3587"/>
  <c r="I3597"/>
  <c r="I3603"/>
  <c r="N3603"/>
  <c r="P3603"/>
  <c r="Q3603"/>
  <c r="I3604"/>
  <c r="I3605"/>
  <c r="N3605"/>
  <c r="O3605" s="1"/>
  <c r="P3605"/>
  <c r="I3607"/>
  <c r="I3608"/>
  <c r="I3609"/>
  <c r="N3609"/>
  <c r="I3611"/>
  <c r="N3611"/>
  <c r="I3612"/>
  <c r="F3613"/>
  <c r="I3613" s="1"/>
  <c r="N3613"/>
  <c r="O3613" s="1"/>
  <c r="P3613"/>
  <c r="I3615"/>
  <c r="I3616"/>
  <c r="I3617"/>
  <c r="N3617"/>
  <c r="I2888" l="1"/>
  <c r="I3571"/>
  <c r="I3485"/>
  <c r="I1043"/>
  <c r="I1004"/>
  <c r="I1222"/>
  <c r="I1223" s="1"/>
  <c r="F3598"/>
  <c r="I3598" s="1"/>
  <c r="I3599" s="1"/>
  <c r="I3600" s="1"/>
  <c r="I622"/>
  <c r="I13"/>
  <c r="I1398"/>
  <c r="O425"/>
  <c r="P425" s="1"/>
  <c r="I1092"/>
  <c r="I1087"/>
  <c r="I1083"/>
  <c r="I1275"/>
  <c r="I1079"/>
  <c r="N5"/>
  <c r="I413"/>
  <c r="I414" s="1"/>
  <c r="I2821"/>
  <c r="I2823" s="1"/>
  <c r="I2825" s="1"/>
  <c r="I2827" s="1"/>
  <c r="I2829" s="1"/>
  <c r="I2831" s="1"/>
  <c r="I2833" s="1"/>
  <c r="I2835" s="1"/>
  <c r="I2837" s="1"/>
  <c r="I2839" s="1"/>
  <c r="I2841" s="1"/>
  <c r="I2859" s="1"/>
  <c r="I3342"/>
  <c r="I3343" s="1"/>
  <c r="P2809"/>
  <c r="Q2809" s="1"/>
  <c r="I2811"/>
  <c r="Q1223"/>
  <c r="P2862"/>
  <c r="Q2862" s="1"/>
  <c r="P776"/>
  <c r="Q776" s="1"/>
  <c r="P626"/>
  <c r="Q626" s="1"/>
  <c r="I1991"/>
  <c r="I3618"/>
  <c r="I3619" s="1"/>
  <c r="I2002"/>
  <c r="I1969"/>
  <c r="I1915"/>
  <c r="I1911"/>
  <c r="I1907"/>
  <c r="I3429"/>
  <c r="P1453"/>
  <c r="I784"/>
  <c r="I785" s="1"/>
  <c r="N681"/>
  <c r="I3500"/>
  <c r="I3470"/>
  <c r="I3471" s="1"/>
  <c r="I1515"/>
  <c r="I1517" s="1"/>
  <c r="I1519" s="1"/>
  <c r="I1521" s="1"/>
  <c r="I1523" s="1"/>
  <c r="I1525" s="1"/>
  <c r="I1527" s="1"/>
  <c r="I1529" s="1"/>
  <c r="I1531" s="1"/>
  <c r="I1533" s="1"/>
  <c r="I3494"/>
  <c r="Q3445"/>
  <c r="R3445" s="1"/>
  <c r="I1802"/>
  <c r="I1803" s="1"/>
  <c r="I1109"/>
  <c r="I827"/>
  <c r="I828" s="1"/>
  <c r="P640"/>
  <c r="Q640" s="1"/>
  <c r="P3563"/>
  <c r="I3504"/>
  <c r="P1580"/>
  <c r="Q1580" s="1"/>
  <c r="I1141"/>
  <c r="I1142" s="1"/>
  <c r="P583"/>
  <c r="Q583" s="1"/>
  <c r="I3523"/>
  <c r="I3019"/>
  <c r="I3021" s="1"/>
  <c r="I3023" s="1"/>
  <c r="I3025" s="1"/>
  <c r="I3027" s="1"/>
  <c r="I3029" s="1"/>
  <c r="I3031" s="1"/>
  <c r="I3033" s="1"/>
  <c r="I3035" s="1"/>
  <c r="I3037" s="1"/>
  <c r="I2864"/>
  <c r="T1223"/>
  <c r="I1114"/>
  <c r="I946"/>
  <c r="I947" s="1"/>
  <c r="P783"/>
  <c r="Q783" s="1"/>
  <c r="P751"/>
  <c r="Q751" s="1"/>
  <c r="P637"/>
  <c r="Q637" s="1"/>
  <c r="P633"/>
  <c r="Q633" s="1"/>
  <c r="P631"/>
  <c r="Q631" s="1"/>
  <c r="I130"/>
  <c r="I131" s="1"/>
  <c r="I14"/>
  <c r="I3575"/>
  <c r="Q3461"/>
  <c r="R3461" s="1"/>
  <c r="I2899"/>
  <c r="I2900" s="1"/>
  <c r="I2764"/>
  <c r="I2766" s="1"/>
  <c r="I2768" s="1"/>
  <c r="I2770" s="1"/>
  <c r="I2772" s="1"/>
  <c r="I2774" s="1"/>
  <c r="I2776" s="1"/>
  <c r="I2778" s="1"/>
  <c r="I2780" s="1"/>
  <c r="I2782" s="1"/>
  <c r="I2784" s="1"/>
  <c r="I2793" s="1"/>
  <c r="I1926"/>
  <c r="I798"/>
  <c r="I799" s="1"/>
  <c r="I670"/>
  <c r="I671" s="1"/>
  <c r="I546"/>
  <c r="I171"/>
  <c r="I3448"/>
  <c r="I3449" s="1"/>
  <c r="I3424"/>
  <c r="I3425" s="1"/>
  <c r="I3579"/>
  <c r="I3558"/>
  <c r="I3464"/>
  <c r="I3465" s="1"/>
  <c r="I3419"/>
  <c r="I3420" s="1"/>
  <c r="I3338"/>
  <c r="I2802"/>
  <c r="I2187"/>
  <c r="I2188" s="1"/>
  <c r="I1613"/>
  <c r="I919"/>
  <c r="I920" s="1"/>
  <c r="I303"/>
  <c r="I2884"/>
  <c r="I2885" s="1"/>
  <c r="P2863"/>
  <c r="Q2863" s="1"/>
  <c r="P2855"/>
  <c r="Q2855" s="1"/>
  <c r="I1162"/>
  <c r="I1163" s="1"/>
  <c r="I1074"/>
  <c r="I1049"/>
  <c r="I1050" s="1"/>
  <c r="P1017"/>
  <c r="I1019"/>
  <c r="I1020" s="1"/>
  <c r="I998"/>
  <c r="I999" s="1"/>
  <c r="I891"/>
  <c r="I892" s="1"/>
  <c r="I876"/>
  <c r="I877" s="1"/>
  <c r="P777"/>
  <c r="Q777" s="1"/>
  <c r="I727"/>
  <c r="I728" s="1"/>
  <c r="P618"/>
  <c r="Q618" s="1"/>
  <c r="I623"/>
  <c r="I3516"/>
  <c r="I2969"/>
  <c r="I3511"/>
  <c r="I2073"/>
  <c r="I2074" s="1"/>
  <c r="I2075" s="1"/>
  <c r="I2024"/>
  <c r="I2015"/>
  <c r="I1861"/>
  <c r="I1862" s="1"/>
  <c r="I1308"/>
  <c r="I1309" s="1"/>
  <c r="I2756"/>
  <c r="I2032"/>
  <c r="I2033" s="1"/>
  <c r="I1953"/>
  <c r="I1954" s="1"/>
  <c r="I1903"/>
  <c r="I1904" s="1"/>
  <c r="I1853"/>
  <c r="I1854" s="1"/>
  <c r="I1782"/>
  <c r="I922" l="1"/>
  <c r="I172"/>
  <c r="I1110"/>
  <c r="I1783"/>
  <c r="I3580"/>
  <c r="I3345"/>
  <c r="I3347" s="1"/>
  <c r="I3349" s="1"/>
  <c r="I3351" s="1"/>
  <c r="I3353" s="1"/>
  <c r="I3355" s="1"/>
  <c r="I3357" s="1"/>
  <c r="I3359" s="1"/>
  <c r="I3361" s="1"/>
  <c r="I3363" s="1"/>
  <c r="I3365" s="1"/>
  <c r="I3367" s="1"/>
  <c r="I3369" s="1"/>
  <c r="I1075"/>
  <c r="I1088"/>
  <c r="I304"/>
  <c r="I894"/>
  <c r="I2902"/>
  <c r="I2865"/>
  <c r="I2866" s="1"/>
  <c r="I2803"/>
  <c r="I2804" s="1"/>
  <c r="P1309"/>
  <c r="I1022"/>
  <c r="I1052"/>
  <c r="I924"/>
  <c r="I730"/>
  <c r="I830"/>
  <c r="I832" s="1"/>
  <c r="F3406"/>
  <c r="I3406" s="1"/>
  <c r="I547"/>
  <c r="I3276"/>
  <c r="I1752"/>
  <c r="I1614"/>
  <c r="I1615" s="1"/>
  <c r="I3038"/>
  <c r="I3039" s="1"/>
  <c r="Q1903"/>
  <c r="I3398" l="1"/>
  <c r="I3399" s="1"/>
  <c r="I3400" s="1"/>
  <c r="I3401" s="1"/>
  <c r="I896"/>
  <c r="I898" s="1"/>
  <c r="I900" s="1"/>
  <c r="I902" s="1"/>
  <c r="I904" s="1"/>
  <c r="I906" s="1"/>
  <c r="I908" s="1"/>
  <c r="I910" s="1"/>
  <c r="I2904"/>
  <c r="I1811"/>
  <c r="I926"/>
  <c r="I1054"/>
  <c r="I1024"/>
  <c r="I834"/>
  <c r="I732"/>
  <c r="I549"/>
  <c r="I928" l="1"/>
  <c r="I2906"/>
  <c r="I836"/>
  <c r="I1026"/>
  <c r="I1056"/>
  <c r="I1058" s="1"/>
  <c r="I734"/>
  <c r="I551"/>
  <c r="I930" l="1"/>
  <c r="I932" s="1"/>
  <c r="I934" s="1"/>
  <c r="I936" s="1"/>
  <c r="I938" s="1"/>
  <c r="I940" s="1"/>
  <c r="I2908"/>
  <c r="I736"/>
  <c r="I1060"/>
  <c r="I1028"/>
  <c r="I838"/>
  <c r="I553"/>
  <c r="I2910" l="1"/>
  <c r="I840"/>
  <c r="I1030"/>
  <c r="I1062"/>
  <c r="I738"/>
  <c r="I555"/>
  <c r="I2912" l="1"/>
  <c r="I1064"/>
  <c r="I1032"/>
  <c r="I842"/>
  <c r="I740"/>
  <c r="I557"/>
  <c r="I2914" l="1"/>
  <c r="I742"/>
  <c r="I844"/>
  <c r="I1034"/>
  <c r="I1066"/>
  <c r="I1068" s="1"/>
  <c r="I559"/>
  <c r="I2916" l="1"/>
  <c r="I1036"/>
  <c r="I744"/>
  <c r="I561"/>
  <c r="I2918" l="1"/>
  <c r="I748"/>
  <c r="I1038"/>
  <c r="I563"/>
  <c r="I749" l="1"/>
  <c r="I565"/>
  <c r="I579" s="1"/>
  <c r="I580" s="1"/>
  <c r="F3407" l="1"/>
  <c r="I3407" s="1"/>
  <c r="I3408" s="1"/>
  <c r="I3409" s="1"/>
</calcChain>
</file>

<file path=xl/sharedStrings.xml><?xml version="1.0" encoding="utf-8"?>
<sst xmlns="http://schemas.openxmlformats.org/spreadsheetml/2006/main" count="5289" uniqueCount="1619">
  <si>
    <t>Brick work in C.M. 1:6  using Kiln Burnt Country bricks of size 22 x 11 x 7 cm ( 8 3/4" x 4 1/4" x 2 3/4")</t>
  </si>
  <si>
    <t>M.S.Holdfast</t>
  </si>
  <si>
    <t>a. In Ground Floor</t>
  </si>
  <si>
    <t>Unit</t>
  </si>
  <si>
    <t>sqm</t>
  </si>
  <si>
    <t>Anti termite treatment</t>
  </si>
  <si>
    <t>nos</t>
  </si>
  <si>
    <t>Set</t>
  </si>
  <si>
    <t>KG</t>
  </si>
  <si>
    <t>MT</t>
  </si>
  <si>
    <t>a. 900 x 2100 mm</t>
  </si>
  <si>
    <t>SQM</t>
  </si>
  <si>
    <t>Rmt</t>
  </si>
  <si>
    <t>Annexure</t>
  </si>
  <si>
    <t>Box type Fibre Fan hook</t>
  </si>
  <si>
    <t>8 SWG wire</t>
  </si>
  <si>
    <t>14.I</t>
  </si>
  <si>
    <t>Nos.</t>
  </si>
  <si>
    <t>Qty</t>
  </si>
  <si>
    <t>Filling with Excavated Earth</t>
  </si>
  <si>
    <t>14.II</t>
  </si>
  <si>
    <t>cum</t>
  </si>
  <si>
    <t>No</t>
  </si>
  <si>
    <t>Nos</t>
  </si>
  <si>
    <t>PVC Nahani trap (4way/2way)</t>
  </si>
  <si>
    <t>B</t>
  </si>
  <si>
    <t>-</t>
  </si>
  <si>
    <t>QTY</t>
  </si>
  <si>
    <t>Kg</t>
  </si>
  <si>
    <t>Ellispattern</t>
  </si>
  <si>
    <t>Weathering course</t>
  </si>
  <si>
    <t>EACH</t>
  </si>
  <si>
    <t>RMT</t>
  </si>
  <si>
    <t>Description</t>
  </si>
  <si>
    <t>Painting - New "iron work"</t>
  </si>
  <si>
    <t>T.W. double leaf shutters for cup board/ ward robes</t>
  </si>
  <si>
    <t>Electrical arrangements</t>
  </si>
  <si>
    <t>Cum</t>
  </si>
  <si>
    <t>Earthing Station IS3043 (Type I)</t>
  </si>
  <si>
    <t>Supply and planting avenue trees</t>
  </si>
  <si>
    <t>Providing Tree guard</t>
  </si>
  <si>
    <t>Total</t>
  </si>
  <si>
    <t>Sqm</t>
  </si>
  <si>
    <t>Supplying and delivery of Three phase ELCB/RCCB</t>
  </si>
  <si>
    <t>M.S.Grill</t>
  </si>
  <si>
    <t>Ventilator</t>
  </si>
  <si>
    <t>m</t>
  </si>
  <si>
    <t>Rmt.</t>
  </si>
  <si>
    <t>Run of 2 Wires of 2.5 sqmm PVC insulated single core multi strand fire retardant flexible copper cable with ISI mark confirming IS: 694:1990.</t>
  </si>
  <si>
    <t>S &amp; F of 15mm dia half turn CP long body tap</t>
  </si>
  <si>
    <t>S &amp; F of 15mm dia half turn CP short body tap</t>
  </si>
  <si>
    <t>d. 750 x 2100 mm</t>
  </si>
  <si>
    <t>Concrete designer tiles flooring</t>
  </si>
  <si>
    <t>.</t>
  </si>
  <si>
    <t xml:space="preserve">Say </t>
  </si>
  <si>
    <t>Say</t>
  </si>
  <si>
    <t xml:space="preserve">Providing PVC Tee with end cap </t>
  </si>
  <si>
    <t>Supply and Fixing Soild UPVC door Shutter with frame</t>
  </si>
  <si>
    <t>TW styles &amp; rails with 9mm thick BWR single leaf shutters  with brass screws size of 750 x 2100 mm</t>
  </si>
  <si>
    <t xml:space="preserve"> No</t>
  </si>
  <si>
    <t xml:space="preserve">Total </t>
  </si>
  <si>
    <t>TAMIL NADU POLICE HOUSING CORPORATION LTD</t>
  </si>
  <si>
    <t>R.C.C.Door frames of size 100 x 75mm with one edge grooves size 't' x 20 mm using M25grade ( with out vibrating charges)</t>
  </si>
  <si>
    <t>Supply and Laying of Ivory Virtified tile Flooring with 1st Quality homogeneous tiles in C.M 1:3 20mm Thick incl. pointing with Latricrete or Equivalent make Epoxy Stain Free (SP-100) grout</t>
  </si>
  <si>
    <t xml:space="preserve">Providing  two coats of Plastic Emulsion paint including primer for inner walls </t>
  </si>
  <si>
    <t>MADURAI DIVISION</t>
  </si>
  <si>
    <t>D</t>
  </si>
  <si>
    <t>D1</t>
  </si>
  <si>
    <t>W</t>
  </si>
  <si>
    <t>W1</t>
  </si>
  <si>
    <t>D/F D2</t>
  </si>
  <si>
    <t>Toilet</t>
  </si>
  <si>
    <t>Front portion</t>
  </si>
  <si>
    <t>Inspection chamber</t>
  </si>
  <si>
    <t>C1</t>
  </si>
  <si>
    <t>C2</t>
  </si>
  <si>
    <t>C3</t>
  </si>
  <si>
    <t>Mid landing</t>
  </si>
  <si>
    <t>common toilet</t>
  </si>
  <si>
    <t xml:space="preserve">Kitchen </t>
  </si>
  <si>
    <t>Sl.No</t>
  </si>
  <si>
    <t>Measurements</t>
  </si>
  <si>
    <t>Head room</t>
  </si>
  <si>
    <t>Passage</t>
  </si>
  <si>
    <t>say</t>
  </si>
  <si>
    <t>kitchen</t>
  </si>
  <si>
    <t>Second floor</t>
  </si>
  <si>
    <t>x</t>
  </si>
  <si>
    <t>Kitchen</t>
  </si>
  <si>
    <t>Hall</t>
  </si>
  <si>
    <t>Common toilet</t>
  </si>
  <si>
    <t>KW</t>
  </si>
  <si>
    <t>Shoe rack</t>
  </si>
  <si>
    <t>Vertical wall</t>
  </si>
  <si>
    <t>D/F MD</t>
  </si>
  <si>
    <t>Attached toilet</t>
  </si>
  <si>
    <t>D/F Window W1</t>
  </si>
  <si>
    <t>D/F Door D</t>
  </si>
  <si>
    <t>Third floor</t>
  </si>
  <si>
    <t>Description of work</t>
  </si>
  <si>
    <t>main door</t>
  </si>
  <si>
    <t>OTS area</t>
  </si>
  <si>
    <t>D/F Door D2</t>
  </si>
  <si>
    <t xml:space="preserve">Add jams </t>
  </si>
  <si>
    <t>OTS</t>
  </si>
  <si>
    <t>At Kitchen</t>
  </si>
  <si>
    <t>Executive Engineer</t>
  </si>
  <si>
    <t>Provision for Supervision Charges @ 7.5 %</t>
  </si>
  <si>
    <t>Provision for Unforseen tems,Contingencies and petty supervision charges at 2.5 %</t>
  </si>
  <si>
    <t>Provision for Labour Welfare fund @ 1%</t>
  </si>
  <si>
    <t>Provision for GST @ 18%</t>
  </si>
  <si>
    <t xml:space="preserve">Pumproom </t>
  </si>
  <si>
    <t xml:space="preserve">Office room </t>
  </si>
  <si>
    <t>EB room</t>
  </si>
  <si>
    <t>Security room</t>
  </si>
  <si>
    <t xml:space="preserve">Sqm </t>
  </si>
  <si>
    <t>Add  james</t>
  </si>
  <si>
    <t xml:space="preserve">D/F Lift open </t>
  </si>
  <si>
    <t>Lift front wall</t>
  </si>
  <si>
    <t xml:space="preserve">Terrace floor </t>
  </si>
  <si>
    <t>D/F open</t>
  </si>
  <si>
    <t xml:space="preserve">D/F Lift Door </t>
  </si>
  <si>
    <t>Suppy and laying of granite tile of 10mm thick 
( wall cladding ) in CM 1:2 10mm thick  incl. cost of materials , labours etc.,all including 
( Rupy Red) in all etc complete</t>
  </si>
  <si>
    <t xml:space="preserve">Skirting </t>
  </si>
  <si>
    <t xml:space="preserve">Head Room front area flooring  </t>
  </si>
  <si>
    <t>Support wall  flight (start &amp; End )</t>
  </si>
  <si>
    <t>Skirting Riser</t>
  </si>
  <si>
    <t>Skirting Tread</t>
  </si>
  <si>
    <t>Riser</t>
  </si>
  <si>
    <t>30 th Flight Tread</t>
  </si>
  <si>
    <t>Support wall flight (start &amp; end)</t>
  </si>
  <si>
    <t>Midlanding</t>
  </si>
  <si>
    <t>Roof Landing Step area</t>
  </si>
  <si>
    <t xml:space="preserve"> 3rd Flight Tread (First Floor to 10th floor) (3,5,7,9,11,13,15,17,19,21,23,25,27 flight )</t>
  </si>
  <si>
    <t>2nd Flight Tread</t>
  </si>
  <si>
    <t>Support wall 1st flight (mid-landing)</t>
  </si>
  <si>
    <t>Stilt Floor 1st Flight Tread</t>
  </si>
  <si>
    <t xml:space="preserve">Main &amp; Fire S/c </t>
  </si>
  <si>
    <t xml:space="preserve">D/F open </t>
  </si>
  <si>
    <t xml:space="preserve">D/F Open </t>
  </si>
  <si>
    <t>D/F GD</t>
  </si>
  <si>
    <t xml:space="preserve">Shoe rack bottom </t>
  </si>
  <si>
    <t xml:space="preserve">Service room front passage </t>
  </si>
  <si>
    <t xml:space="preserve">S/C front passage </t>
  </si>
  <si>
    <t xml:space="preserve">Corridor </t>
  </si>
  <si>
    <t xml:space="preserve">Lift lobby </t>
  </si>
  <si>
    <t>Supplying and laying of colour designer tile for steps, landing and other similar works (12"x12") 10mm thick for flooring in CM 1:3 (One of cement and three of sand ) 20mm tk, including fixing in position, cutting the tiles to the required size wherever necessary, pointing the  joints with colour cement, finishing, curing etc complete and as directed by the departmental officers.</t>
  </si>
  <si>
    <t xml:space="preserve">sqm </t>
  </si>
  <si>
    <t xml:space="preserve">Stilt floor </t>
  </si>
  <si>
    <t>UPVC Ventilator
Specification:Supplying and fixing UPVC (Un-Plasticized Polyvinyl Chloride)Louvered Ventilators of from the profile the size of outerframe 60mm x 58mm and shutter profile size of 60 x 78mmboth profiles are reinforced with GI/1mm 125GSM and100% corrosion free, the profile are multi chamberedsections with wall thick of 2mm. The EPDM rubber (blackcolour) covered with all over the edges of frame and shutter.The corners and joints should be welded and cleaned.Radiations pin headed glass 4mm thick should be provided inthe louvers. The window should be fixed to the wall with100% packing with screws and silicon packing all round theframes. The ventilator should be got approved from theExecutive Engineer before use on work</t>
  </si>
  <si>
    <t xml:space="preserve">Stilt floor toilt </t>
  </si>
  <si>
    <t>Co-eff</t>
  </si>
  <si>
    <t>Providing wooden (Melamine Door) Polish for new wood by removing using blade scrapping</t>
  </si>
  <si>
    <t>Providing single round nosing to the edges of Granite slab of 10 mm thick including labour for good workmanship, power consumption, wax,tools &amp; plants required, true to horizontal etC., for Kitchen platform in all floors and as directed by the departmental officers. .</t>
  </si>
  <si>
    <t>Supply and fixing of cuddapah sink 600 x 600 x 200mm</t>
  </si>
  <si>
    <t>S &amp; F of  Bevelled  edge mirror</t>
  </si>
  <si>
    <t>Basement</t>
  </si>
  <si>
    <t>At Bed 1 &amp; 2</t>
  </si>
  <si>
    <t>At hall cum living</t>
  </si>
  <si>
    <t xml:space="preserve">Security room &amp; EB room </t>
  </si>
  <si>
    <t>a) 48" ( 1200mm sweep)</t>
  </si>
  <si>
    <t>supplying &amp; delivery of fan with electronic regulator(ISI mark)</t>
  </si>
  <si>
    <t>At bed 1 &amp; 2</t>
  </si>
  <si>
    <t>Wiring with 1.5sqmm for 5 amps 5 pin plug socket at convenient places</t>
  </si>
  <si>
    <t>at Kitchen</t>
  </si>
  <si>
    <t>Wiring with 1.5sqmm for 5 amps 5 pin plug socket at Swicth Board itself</t>
  </si>
  <si>
    <t xml:space="preserve">Terrace </t>
  </si>
  <si>
    <t>Wiring with 1.5sqmm PVC insolated staircase light point</t>
  </si>
  <si>
    <t>Wirng with 1.5sqmm copper PVC insolator single core FAN Point</t>
  </si>
  <si>
    <t>c)calling bell point</t>
  </si>
  <si>
    <t>Passage verandah</t>
  </si>
  <si>
    <t>At entrance</t>
  </si>
  <si>
    <t xml:space="preserve">Toilet IWC and EWc </t>
  </si>
  <si>
    <t>b) Light point with backlite pattern holder type</t>
  </si>
  <si>
    <t xml:space="preserve">C.T  passage </t>
  </si>
  <si>
    <t>a) light point with ceiling rose</t>
  </si>
  <si>
    <t>Wiring with 1.5sqn\mm copper PVC insolated single core</t>
  </si>
  <si>
    <t>Electrical Arrangements:</t>
  </si>
  <si>
    <t>Y pipe</t>
  </si>
  <si>
    <t>Supplying ,laying and concealing the 50mm dia PVC Pipe with ISI mark type - B with revelant specials</t>
  </si>
  <si>
    <t>inner side (Bath room ) 
(C.T-1.72,A.T-1.72, Kit-1.85=5.29)</t>
  </si>
  <si>
    <t>75 mm dia PVC conceled pipe (SWR)</t>
  </si>
  <si>
    <t>Gully Attached  toilet(0.60+0.30)</t>
  </si>
  <si>
    <t xml:space="preserve">chamber to 14th floor </t>
  </si>
  <si>
    <t>Gully Common toilet</t>
  </si>
  <si>
    <t>Gully Kitchen</t>
  </si>
  <si>
    <t xml:space="preserve">Kitchen chamber to 14th floor </t>
  </si>
  <si>
    <t>b.75 mm dia</t>
  </si>
  <si>
    <t xml:space="preserve">inner side </t>
  </si>
  <si>
    <t>110 mm dia PVC conceled pipe (SWR)</t>
  </si>
  <si>
    <t>Gully Attached toilet</t>
  </si>
  <si>
    <t>water tank basewall pipe</t>
  </si>
  <si>
    <t>a. 110mmdia</t>
  </si>
  <si>
    <t xml:space="preserve">PVC SWR pipe (Soil line) with ISI mark - type 'B'. Class pipe </t>
  </si>
  <si>
    <t xml:space="preserve">Stilt floor security room &amp; Office room </t>
  </si>
  <si>
    <t>Supplying and fixing of wash hand basin (550x400)</t>
  </si>
  <si>
    <t xml:space="preserve">For attached toilet to Kitchen , C.T </t>
  </si>
  <si>
    <t xml:space="preserve">Stilt floor Toilets </t>
  </si>
  <si>
    <t>Supplying and laying of 20mm CPVC pipe (fully concelled inner walls)</t>
  </si>
  <si>
    <t xml:space="preserve">Fire S/C ( corridor ) </t>
  </si>
  <si>
    <t xml:space="preserve">Lift head room </t>
  </si>
  <si>
    <t xml:space="preserve">Y </t>
  </si>
  <si>
    <t xml:space="preserve">Fire S/C </t>
  </si>
  <si>
    <t xml:space="preserve">Main S/C </t>
  </si>
  <si>
    <t xml:space="preserve">
110 mm dia Vertical pipe line ( Flat area) 
</t>
  </si>
  <si>
    <t>PVC SWR 110mm dia with ISI mark -A for rain water down fall pipe</t>
  </si>
  <si>
    <t>Agt No.4.2.3 cum concrete (Foundation, Stilt to terrace )</t>
  </si>
  <si>
    <t xml:space="preserve">PCC 1:2:4 </t>
  </si>
  <si>
    <t xml:space="preserve">As per concrete Qty </t>
  </si>
  <si>
    <t>Fabrication of Mild steel / RTS rills ( with Cement slurry) for all sizes of rods</t>
  </si>
  <si>
    <t xml:space="preserve">Terrace head room GSD sunshade 3 side </t>
  </si>
  <si>
    <t>Common toilet Duct beam side</t>
  </si>
  <si>
    <t>C.50mm wide</t>
  </si>
  <si>
    <t>11th Floor</t>
  </si>
  <si>
    <t xml:space="preserve">7th Floor &amp; 9th floor </t>
  </si>
  <si>
    <t xml:space="preserve">3rd Floor &amp; 5th floor </t>
  </si>
  <si>
    <t>Stilt Floor</t>
  </si>
  <si>
    <t>b.75mm wide</t>
  </si>
  <si>
    <t>a.150mm wide</t>
  </si>
  <si>
    <t>D/F Still floor open near OTS side grill (1st to 14 the floor)</t>
  </si>
  <si>
    <t>D/F Still floor open near OTS side</t>
  </si>
  <si>
    <t>D/F Hall FW</t>
  </si>
  <si>
    <t xml:space="preserve">Duct DB -II Top (Duct big ( C.T ) inner </t>
  </si>
  <si>
    <t xml:space="preserve">DB-II Top (C.T duct) outer top </t>
  </si>
  <si>
    <t>Duct DB -II Top (Duct big ( C.T ) outer</t>
  </si>
  <si>
    <t>Duct DB -I Top( Duct small (A.T)) inner</t>
  </si>
  <si>
    <t>DB-I Top (A.T duct) outer</t>
  </si>
  <si>
    <t>Duct DB -I Top( Duct small (A.T)) outer</t>
  </si>
  <si>
    <t>Duct portion</t>
  </si>
  <si>
    <t>D/F Service verandah</t>
  </si>
  <si>
    <t>D/F V/Ex</t>
  </si>
  <si>
    <t>D/F SW1</t>
  </si>
  <si>
    <t>D/F SW</t>
  </si>
  <si>
    <t>D/F W1 (1st to 14 th floor)</t>
  </si>
  <si>
    <t>D/F W (1st to 14 th floor)</t>
  </si>
  <si>
    <t>D/F W1 (Stilt floor)</t>
  </si>
  <si>
    <t>D/f Silt floor Open area</t>
  </si>
  <si>
    <t xml:space="preserve">Building alround </t>
  </si>
  <si>
    <t>outer area</t>
  </si>
  <si>
    <t xml:space="preserve">Security room &amp; Office room </t>
  </si>
  <si>
    <t>Cleaning pipe</t>
  </si>
  <si>
    <t>Water tank</t>
  </si>
  <si>
    <t>7th floor Horizontal</t>
  </si>
  <si>
    <t>6th floor Horizontal</t>
  </si>
  <si>
    <t>5th floor Horizontal</t>
  </si>
  <si>
    <t>4th floor Horizontal</t>
  </si>
  <si>
    <t>3rd floor Horizontal</t>
  </si>
  <si>
    <t>2nd floor Horizontal</t>
  </si>
  <si>
    <t>1st floor  Horizontal</t>
  </si>
  <si>
    <t>Security room &amp; Horizontal horizontal</t>
  </si>
  <si>
    <t>14th floor Horizontal</t>
  </si>
  <si>
    <t>13th floor Horizontal</t>
  </si>
  <si>
    <t>12th floor Horizontal</t>
  </si>
  <si>
    <t>11th floor Horizontal</t>
  </si>
  <si>
    <t>10th floor Horizontal</t>
  </si>
  <si>
    <t>9th floor Horizontal</t>
  </si>
  <si>
    <t>8th floor Horizontal</t>
  </si>
  <si>
    <t>C. 20 mm dia</t>
  </si>
  <si>
    <t>water tank (Horizontal) Common toilet</t>
  </si>
  <si>
    <t>7th floor to 8th floor</t>
  </si>
  <si>
    <t xml:space="preserve">6th floor to 8th floor </t>
  </si>
  <si>
    <t xml:space="preserve">5th floor to 8th floor </t>
  </si>
  <si>
    <t xml:space="preserve">4th floor to 8th floor  </t>
  </si>
  <si>
    <t xml:space="preserve">3rd floor to 8th floor </t>
  </si>
  <si>
    <t xml:space="preserve">2nd floor to 8th floor </t>
  </si>
  <si>
    <t xml:space="preserve">1st floor to 8th floor </t>
  </si>
  <si>
    <t xml:space="preserve">Attached toilet &amp; Common toilet </t>
  </si>
  <si>
    <t xml:space="preserve">Security room &amp; Office room  vertical </t>
  </si>
  <si>
    <t>b. 25 mm dia</t>
  </si>
  <si>
    <t>over flow pipe</t>
  </si>
  <si>
    <t xml:space="preserve">Security Airpipe &amp; Office room </t>
  </si>
  <si>
    <t xml:space="preserve">Airpipe </t>
  </si>
  <si>
    <t>a. 32 mm dia</t>
  </si>
  <si>
    <t xml:space="preserve">Sub Total-II </t>
  </si>
  <si>
    <t>Garbage Duct ceiling</t>
  </si>
  <si>
    <t>Electrical Duct ceiling</t>
  </si>
  <si>
    <t>D/F Terrace ventilation open</t>
  </si>
  <si>
    <t>D/F Lift Door open</t>
  </si>
  <si>
    <t xml:space="preserve">Service lift inner alround </t>
  </si>
  <si>
    <t xml:space="preserve">Lift 1 &amp; 2 Ceiling </t>
  </si>
  <si>
    <t xml:space="preserve">Lift 1 &amp; 2 inner alround </t>
  </si>
  <si>
    <t xml:space="preserve">Parapet wall building alround inner </t>
  </si>
  <si>
    <t>Parapet Wall</t>
  </si>
  <si>
    <t xml:space="preserve">same qty as above </t>
  </si>
  <si>
    <t>(N) In Forteenth   Floor</t>
  </si>
  <si>
    <t>(N) In thirteenth   Floor</t>
  </si>
  <si>
    <t>(M) In Twelth  Floor</t>
  </si>
  <si>
    <t>(l) In Eleventh Floor</t>
  </si>
  <si>
    <t>(k) In tenth Floor</t>
  </si>
  <si>
    <t>(j) In nineth Floor</t>
  </si>
  <si>
    <t>(i) In eight Floor</t>
  </si>
  <si>
    <t>(h) In seventh Floor</t>
  </si>
  <si>
    <t>(g) In sixth Floor</t>
  </si>
  <si>
    <t>(f) In fifth Floor</t>
  </si>
  <si>
    <t>(e) In fourth Floor</t>
  </si>
  <si>
    <t>(d) In Third Floor</t>
  </si>
  <si>
    <t>(c) In Second Floor</t>
  </si>
  <si>
    <t>Fourth flight handrail</t>
  </si>
  <si>
    <t xml:space="preserve"> fire S/C (1 Nos)  
Third flight handrail</t>
  </si>
  <si>
    <t>b.in first floor</t>
  </si>
  <si>
    <t>Sub-Total-1</t>
  </si>
  <si>
    <t>Column C4</t>
  </si>
  <si>
    <t>Column C3</t>
  </si>
  <si>
    <t>Column C1</t>
  </si>
  <si>
    <t xml:space="preserve">Lift back side </t>
  </si>
  <si>
    <t xml:space="preserve">Garbage duct back side </t>
  </si>
  <si>
    <t xml:space="preserve">passage area </t>
  </si>
  <si>
    <t xml:space="preserve">Gentrator room </t>
  </si>
  <si>
    <t>EB room 1 &amp; 2</t>
  </si>
  <si>
    <t xml:space="preserve">In stilt floor/Ground floor </t>
  </si>
  <si>
    <t>Painting the walls with 2 coats of EMULSION paint</t>
  </si>
  <si>
    <t xml:space="preserve">Overall Total </t>
  </si>
  <si>
    <t>Add SW1 Jams</t>
  </si>
  <si>
    <t>Add SW Jams</t>
  </si>
  <si>
    <t xml:space="preserve">Add GSD jams </t>
  </si>
  <si>
    <t>D/ F GSD</t>
  </si>
  <si>
    <t xml:space="preserve">Stair case 1 ,2 &amp; 3 Room inner </t>
  </si>
  <si>
    <t>same qty as above</t>
  </si>
  <si>
    <t>Eleventh floor</t>
  </si>
  <si>
    <t>Tenth floor</t>
  </si>
  <si>
    <t>Ninth  floor</t>
  </si>
  <si>
    <t>Eighth  floor</t>
  </si>
  <si>
    <t>Seventh  floor</t>
  </si>
  <si>
    <t>Sixth floor</t>
  </si>
  <si>
    <t>Fifth  floor</t>
  </si>
  <si>
    <t>Fourth  floor</t>
  </si>
  <si>
    <t xml:space="preserve">Add Grill jams </t>
  </si>
  <si>
    <t>D/f grill</t>
  </si>
  <si>
    <t xml:space="preserve">Electrical duct  alround inner </t>
  </si>
  <si>
    <t>Duct inside wall</t>
  </si>
  <si>
    <t xml:space="preserve">Shoe rack  support wall middle 
</t>
  </si>
  <si>
    <t>D/F Garbage duct and EB duct open grill</t>
  </si>
  <si>
    <t>Add Jmas RV</t>
  </si>
  <si>
    <t>D/F RV</t>
  </si>
  <si>
    <t xml:space="preserve">D/ F OTS outer wall </t>
  </si>
  <si>
    <t xml:space="preserve">D/F Lift LD </t>
  </si>
  <si>
    <t>EB room Front D</t>
  </si>
  <si>
    <t xml:space="preserve">D/F GD </t>
  </si>
  <si>
    <t xml:space="preserve">Corridor area </t>
  </si>
  <si>
    <t xml:space="preserve">D/F Corridor open </t>
  </si>
  <si>
    <t xml:space="preserve">Staicase front &amp; corridor area between wall </t>
  </si>
  <si>
    <t xml:space="preserve">Garbage duct backe side wall </t>
  </si>
  <si>
    <t xml:space="preserve">Service lift front passage wall </t>
  </si>
  <si>
    <t xml:space="preserve">S/C 3 Front passage wall </t>
  </si>
  <si>
    <t>S/C 2 &amp; 3  front passage wall</t>
  </si>
  <si>
    <t xml:space="preserve"> S/C 2  front passage wall</t>
  </si>
  <si>
    <t>S/C 1  front passage wall</t>
  </si>
  <si>
    <t>S/C 1 front passage wall</t>
  </si>
  <si>
    <t xml:space="preserve">S/C  1,2 &amp; 3 front passage </t>
  </si>
  <si>
    <t xml:space="preserve">
Add jams
</t>
  </si>
  <si>
    <t>D/f SW1</t>
  </si>
  <si>
    <t>D/f SW</t>
  </si>
  <si>
    <t xml:space="preserve">
Three sides
</t>
  </si>
  <si>
    <t>Mian S/C &amp; Fire Staircase</t>
  </si>
  <si>
    <t>Common area</t>
  </si>
  <si>
    <t xml:space="preserve">Add GD jams </t>
  </si>
  <si>
    <t xml:space="preserve">Flat front passage area </t>
  </si>
  <si>
    <t>add open jams</t>
  </si>
  <si>
    <t>D/F D1</t>
  </si>
  <si>
    <t>add jam</t>
  </si>
  <si>
    <t>d/f 'KW'</t>
  </si>
  <si>
    <t>shelf side wall</t>
  </si>
  <si>
    <t xml:space="preserve">loft top </t>
  </si>
  <si>
    <t>loft top</t>
  </si>
  <si>
    <t xml:space="preserve">kitchen </t>
  </si>
  <si>
    <t>KITCHEN</t>
  </si>
  <si>
    <t xml:space="preserve">D/F grill </t>
  </si>
  <si>
    <t>D/F KW</t>
  </si>
  <si>
    <t>Add D1 Jams</t>
  </si>
  <si>
    <t xml:space="preserve">inner alround </t>
  </si>
  <si>
    <t xml:space="preserve">Service verandah room </t>
  </si>
  <si>
    <t xml:space="preserve">add jally jam </t>
  </si>
  <si>
    <t>d/f  Vx</t>
  </si>
  <si>
    <t>add 'D2' jam</t>
  </si>
  <si>
    <t xml:space="preserve">d/f  'D2' door </t>
  </si>
  <si>
    <t>com.toilet (w.c)</t>
  </si>
  <si>
    <t>d/f 'Kitchen O1' open</t>
  </si>
  <si>
    <t>d/f "o" open</t>
  </si>
  <si>
    <t>com.toilet passage</t>
  </si>
  <si>
    <t>COMMON PASSAGE TOILET</t>
  </si>
  <si>
    <t>W/R side wall</t>
  </si>
  <si>
    <t xml:space="preserve">add 'W1 jam </t>
  </si>
  <si>
    <t>d/f 'W'1 window</t>
  </si>
  <si>
    <t xml:space="preserve">add 'W' jam </t>
  </si>
  <si>
    <t>d/f 'W' window</t>
  </si>
  <si>
    <t xml:space="preserve">add 'D' jam </t>
  </si>
  <si>
    <t xml:space="preserve">d/f 'D' door </t>
  </si>
  <si>
    <t xml:space="preserve">bed2 </t>
  </si>
  <si>
    <t>BED ROOM 2</t>
  </si>
  <si>
    <t xml:space="preserve">add door jam </t>
  </si>
  <si>
    <t xml:space="preserve">d/f 'D2' door </t>
  </si>
  <si>
    <t xml:space="preserve">Att.Toilet alround </t>
  </si>
  <si>
    <t>ATTACHED TOILET</t>
  </si>
  <si>
    <t>add shelf side</t>
  </si>
  <si>
    <t>add W/R side</t>
  </si>
  <si>
    <t>add 'W' jam</t>
  </si>
  <si>
    <t>add 'D' jam</t>
  </si>
  <si>
    <t>bed1</t>
  </si>
  <si>
    <t>BEDROOM 1</t>
  </si>
  <si>
    <t>add showcase shelf wall side</t>
  </si>
  <si>
    <t>show case loft top</t>
  </si>
  <si>
    <t>add 'FW' jam</t>
  </si>
  <si>
    <t>d/f 'FW' window</t>
  </si>
  <si>
    <t>add open jam</t>
  </si>
  <si>
    <t>d/f 'o' open</t>
  </si>
  <si>
    <t>d/f 'D' door (bed1&amp;bed2)</t>
  </si>
  <si>
    <t>add main door jam</t>
  </si>
  <si>
    <t xml:space="preserve">d/f  'MD' main door </t>
  </si>
  <si>
    <t xml:space="preserve">inner wall alround </t>
  </si>
  <si>
    <t>HALL</t>
  </si>
  <si>
    <t>First floor inner</t>
  </si>
  <si>
    <t xml:space="preserve">Add GD side skirting </t>
  </si>
  <si>
    <t xml:space="preserve">alround Skirting tiles </t>
  </si>
  <si>
    <t>Add GD  threshold</t>
  </si>
  <si>
    <t>Flooring</t>
  </si>
  <si>
    <t xml:space="preserve">Entrance area </t>
  </si>
  <si>
    <t xml:space="preserve">Add open side skirting </t>
  </si>
  <si>
    <t xml:space="preserve">Alround skirting </t>
  </si>
  <si>
    <t>Add D1  threshold</t>
  </si>
  <si>
    <t xml:space="preserve">Service room </t>
  </si>
  <si>
    <t xml:space="preserve">Add opne side skirting </t>
  </si>
  <si>
    <t xml:space="preserve">D/F KW open </t>
  </si>
  <si>
    <t>Add open  threshold</t>
  </si>
  <si>
    <t xml:space="preserve">Flooring </t>
  </si>
  <si>
    <t xml:space="preserve">CT front passage </t>
  </si>
  <si>
    <t xml:space="preserve">Add D side skirting </t>
  </si>
  <si>
    <t>D/F D</t>
  </si>
  <si>
    <t>Add D threshold</t>
  </si>
  <si>
    <t>Bed-2</t>
  </si>
  <si>
    <t xml:space="preserve">Bed-1 alround skirting </t>
  </si>
  <si>
    <t>Bed-1</t>
  </si>
  <si>
    <t xml:space="preserve">Add MD side skirting </t>
  </si>
  <si>
    <t>Add 'MD' threshold</t>
  </si>
  <si>
    <t>b. First floor</t>
  </si>
  <si>
    <t>D/D D2</t>
  </si>
  <si>
    <t>Add Door jams side</t>
  </si>
  <si>
    <t xml:space="preserve">skirting tiles </t>
  </si>
  <si>
    <t>Add Door  threshold</t>
  </si>
  <si>
    <t xml:space="preserve">Add ED side skirting </t>
  </si>
  <si>
    <t>D/F ED</t>
  </si>
  <si>
    <t xml:space="preserve">D/F Door </t>
  </si>
  <si>
    <t xml:space="preserve">Skirting tiles </t>
  </si>
  <si>
    <t xml:space="preserve">Security room  &amp; EB room front passage </t>
  </si>
  <si>
    <t xml:space="preserve">Add door side </t>
  </si>
  <si>
    <t>Add door threshold</t>
  </si>
  <si>
    <t>a. Silt floor</t>
  </si>
  <si>
    <t>379.4.</t>
  </si>
  <si>
    <t>Supplying and laying of Floor ceramic tiles  using Grout (Tile Joint Filler).CM 1:3, 20mm tk(anti skid floor tiles )</t>
  </si>
  <si>
    <t xml:space="preserve">Add open jams </t>
  </si>
  <si>
    <t>Supplying and fixing of Wall /Glazed Tiles using Grout etC..</t>
  </si>
  <si>
    <t xml:space="preserve">D/f window open </t>
  </si>
  <si>
    <t>Hearth Slab</t>
  </si>
  <si>
    <t xml:space="preserve">Hearth Slab top area </t>
  </si>
  <si>
    <t>b.In first floor</t>
  </si>
  <si>
    <t>S &amp; F of Granite tile of size 2'x1', 10mm Thick For Kitchen arrangements (jet blACk)</t>
  </si>
  <si>
    <t>379.4.4</t>
  </si>
  <si>
    <t>Flush door shutter size 900x2100 
( Single leaf)</t>
  </si>
  <si>
    <t>23.1.8</t>
  </si>
  <si>
    <t>TW panalled door shutter with brass fittings
b. 1000x2100mm (Single leaf)</t>
  </si>
  <si>
    <t xml:space="preserve">Wall Concrete inner </t>
  </si>
  <si>
    <t xml:space="preserve">Wall Concrete outer </t>
  </si>
  <si>
    <t>Fire OHT Vertical wall Concrete</t>
  </si>
  <si>
    <t xml:space="preserve">D/F wall joint area </t>
  </si>
  <si>
    <t>Middle wall</t>
  </si>
  <si>
    <t>Wall inner alround</t>
  </si>
  <si>
    <t>Wall outer alround</t>
  </si>
  <si>
    <t>OHT -Vertical wall Concrete</t>
  </si>
  <si>
    <t xml:space="preserve">Wall alround inner </t>
  </si>
  <si>
    <t>PARAPET WALL 115mm WALL</t>
  </si>
  <si>
    <t>Terrace open jams</t>
  </si>
  <si>
    <t xml:space="preserve">open open Jams service lift </t>
  </si>
  <si>
    <t>alround open Jams</t>
  </si>
  <si>
    <t>D/F Open</t>
  </si>
  <si>
    <t xml:space="preserve">D/F Service Lift open </t>
  </si>
  <si>
    <t xml:space="preserve">Service Lif  wall inner alround </t>
  </si>
  <si>
    <t xml:space="preserve">Service Lift wall outer alround </t>
  </si>
  <si>
    <t xml:space="preserve">Lift wall inner alround </t>
  </si>
  <si>
    <t xml:space="preserve">Lift wall outer alround </t>
  </si>
  <si>
    <t>L).Eleventh floor</t>
  </si>
  <si>
    <t>(b) In First Floor</t>
  </si>
  <si>
    <t xml:space="preserve"> open open Jams service lift </t>
  </si>
  <si>
    <t>a.IN GROUND FLOOR</t>
  </si>
  <si>
    <t>IN FOUNDATION AND BASEMENT</t>
  </si>
  <si>
    <t xml:space="preserve">d.For vertical walls </t>
  </si>
  <si>
    <t>Fire OHT Column Concrete</t>
  </si>
  <si>
    <t>C4</t>
  </si>
  <si>
    <t>Main &amp; Fire Head Room Column Concrete</t>
  </si>
  <si>
    <t>C5</t>
  </si>
  <si>
    <t>OHT - COLUMN CONCRETE</t>
  </si>
  <si>
    <t>PARAPERT COLUMN</t>
  </si>
  <si>
    <t>(k) In Eleventh Floor</t>
  </si>
  <si>
    <t xml:space="preserve">
Main &amp; Fire Staircase C2
</t>
  </si>
  <si>
    <t>IN STILT  FLOOR</t>
  </si>
  <si>
    <t>C. .For Square and rectangular columns and small quantities</t>
  </si>
  <si>
    <t xml:space="preserve">Over all total </t>
  </si>
  <si>
    <t xml:space="preserve">D/F Manhole </t>
  </si>
  <si>
    <t>Fire OHT Cover Slab concrete</t>
  </si>
  <si>
    <t xml:space="preserve">vertical beam </t>
  </si>
  <si>
    <t xml:space="preserve">horizontal  beam </t>
  </si>
  <si>
    <t>Fire staircase OHT  base Slab Concrete</t>
  </si>
  <si>
    <t>Side</t>
  </si>
  <si>
    <t xml:space="preserve">Horizontal beam </t>
  </si>
  <si>
    <t xml:space="preserve">Vertical beam </t>
  </si>
  <si>
    <t xml:space="preserve">BEAM </t>
  </si>
  <si>
    <t>Main &amp; Fire staircase Head room slab Concrete</t>
  </si>
  <si>
    <t xml:space="preserve">D/F Manhole Security room tank &amp; Office room </t>
  </si>
  <si>
    <t>D/F Manhole</t>
  </si>
  <si>
    <t>OHT -Cover slab Concrete</t>
  </si>
  <si>
    <t>OHT - Base Slab CONCRETE</t>
  </si>
  <si>
    <t xml:space="preserve">Duct DB -I C.T vertical </t>
  </si>
  <si>
    <t xml:space="preserve">Duct DB -I C.T Horizontal </t>
  </si>
  <si>
    <t>Duct beam Horizontal &amp; Vertical  DB -I Top A.T</t>
  </si>
  <si>
    <t>Duct</t>
  </si>
  <si>
    <t xml:space="preserve">OTS inner side </t>
  </si>
  <si>
    <t>AC Slab OTS</t>
  </si>
  <si>
    <t xml:space="preserve">Garbage duct front lobby </t>
  </si>
  <si>
    <t xml:space="preserve">EB duct </t>
  </si>
  <si>
    <t xml:space="preserve">Garbage duct </t>
  </si>
  <si>
    <t xml:space="preserve">Flat Enternce area </t>
  </si>
  <si>
    <t>Corridor</t>
  </si>
  <si>
    <t>passage</t>
  </si>
  <si>
    <t>bath (att.toilet)</t>
  </si>
  <si>
    <t>hall</t>
  </si>
  <si>
    <t xml:space="preserve">Kitchen hearth slab side </t>
  </si>
  <si>
    <t>Garbage duct GW</t>
  </si>
  <si>
    <t>EB duct GD</t>
  </si>
  <si>
    <t xml:space="preserve">SILL SLAB </t>
  </si>
  <si>
    <t>Mid landing Beam</t>
  </si>
  <si>
    <t>Steps</t>
  </si>
  <si>
    <t xml:space="preserve">Main &amp; S/C Fire Staircase </t>
  </si>
  <si>
    <t xml:space="preserve">Beam CONCRETE </t>
  </si>
  <si>
    <t xml:space="preserve">Lintel </t>
  </si>
  <si>
    <t>SILL SLAB</t>
  </si>
  <si>
    <t>Stilt floor /Ground floor</t>
  </si>
  <si>
    <t>B. Plain surfaces such as Roof slab,floorslab,Beams,lintels,lofts,sill slab,staircase,portico slab and other similar works</t>
  </si>
  <si>
    <t xml:space="preserve">Enternece side front area </t>
  </si>
  <si>
    <t xml:space="preserve">Enternece side </t>
  </si>
  <si>
    <t xml:space="preserve">Main &amp; Fire S/c area </t>
  </si>
  <si>
    <t>a) Formwork using M.S.Sheet
a.For Column footings,plinth beam,Grade beam, Raftbeam, Raft slab etC.,</t>
  </si>
  <si>
    <t xml:space="preserve">OTS area </t>
  </si>
  <si>
    <t xml:space="preserve">Toilet front passage </t>
  </si>
  <si>
    <t>S &amp; F of Exsaust Fan 225 mm dia</t>
  </si>
  <si>
    <t xml:space="preserve">Stilt floor Security room </t>
  </si>
  <si>
    <t>At bed I &amp; bed II</t>
  </si>
  <si>
    <t>Chargers for fixing of "Fan"</t>
  </si>
  <si>
    <t>At bed I &amp; bed II (Fan &amp; bed -1 Baby hook)</t>
  </si>
  <si>
    <t>At hall cum living (Fan &amp; Baby hook)</t>
  </si>
  <si>
    <t>15 Amp.power plug</t>
  </si>
  <si>
    <t xml:space="preserve">Common Toilet  &amp; Attached  toilet &amp; wash basin,Kitchen </t>
  </si>
  <si>
    <t>Stilt floor Toilet</t>
  </si>
  <si>
    <t xml:space="preserve">For Kitchen waste water &amp; kitchen line </t>
  </si>
  <si>
    <t>Gully Trap using chamber burnt bricks 23 x 11.4 x 7.5CM</t>
  </si>
  <si>
    <t>S &amp; F of E.W.C(white)</t>
  </si>
  <si>
    <t>Supplying and fixing of Orissa pan other than IWC  GF</t>
  </si>
  <si>
    <t>Suppying and fixing of orissa pan in IWC GF</t>
  </si>
  <si>
    <t>CPVC  pipe 20 mm dia for Hot water line(Fully concealed in walls)</t>
  </si>
  <si>
    <t xml:space="preserve">UPVC water supply </t>
  </si>
  <si>
    <t>S &amp; F chromium plated 8 guage picture Hook</t>
  </si>
  <si>
    <t xml:space="preserve">Stilt floor office room &amp; Security room </t>
  </si>
  <si>
    <t>S &amp; F 5 pin coat stand</t>
  </si>
  <si>
    <t xml:space="preserve">Stilt floor Toilet </t>
  </si>
  <si>
    <t>S &amp; F  Aluminium Towel rail 75CM long</t>
  </si>
  <si>
    <t>S &amp; F 20mm dia Aluminium Hanger road</t>
  </si>
  <si>
    <t>RS</t>
  </si>
  <si>
    <t>EB room GD</t>
  </si>
  <si>
    <t>Office room SW</t>
  </si>
  <si>
    <t>Security room SW1</t>
  </si>
  <si>
    <t xml:space="preserve"> W1</t>
  </si>
  <si>
    <t>co-eff</t>
  </si>
  <si>
    <t>Enterence EMD</t>
  </si>
  <si>
    <t xml:space="preserve"> Security room , Office room, D</t>
  </si>
  <si>
    <t>Stilt floor</t>
  </si>
  <si>
    <t>Painting-New "wood work"</t>
  </si>
  <si>
    <t>kgs</t>
  </si>
  <si>
    <t>Landing</t>
  </si>
  <si>
    <t>Cement mortar Border in C.M. 1:5, 12 mm thick</t>
  </si>
  <si>
    <t>Plastering in C.M. 1:3, 12mm thick with WPC</t>
  </si>
  <si>
    <t>Add steps</t>
  </si>
  <si>
    <t>30th flight handrail</t>
  </si>
  <si>
    <t>Fire S/C 29th  flight handrail</t>
  </si>
  <si>
    <t xml:space="preserve">a. In  stilt floor / Ground floor </t>
  </si>
  <si>
    <t xml:space="preserve">Electrical DUCT Inspection chamber for building  </t>
  </si>
  <si>
    <t>Plastering in C.M. 1:4, 12mm thick</t>
  </si>
  <si>
    <t xml:space="preserve">Electrical duct inner alround </t>
  </si>
  <si>
    <t>D/F GW</t>
  </si>
  <si>
    <t xml:space="preserve">Garbage duct inner alround </t>
  </si>
  <si>
    <t xml:space="preserve">Terrace head room SW1 sunshade 3 side </t>
  </si>
  <si>
    <t>Terrace head roomSW1sunshade top</t>
  </si>
  <si>
    <t xml:space="preserve">Terrace head room SW  sunshade 3 side </t>
  </si>
  <si>
    <t>Terrace head roomSW sunshade top</t>
  </si>
  <si>
    <t>Terrace head room  GSD sunshade top</t>
  </si>
  <si>
    <t>OTS alround inner</t>
  </si>
  <si>
    <t xml:space="preserve">OTS alround outer </t>
  </si>
  <si>
    <t>Parapet wall building alround outer</t>
  </si>
  <si>
    <t xml:space="preserve">Service lift parapet wall outer </t>
  </si>
  <si>
    <t xml:space="preserve">Service lift parapet wall inner </t>
  </si>
  <si>
    <t xml:space="preserve">LIFT 1 &amp; 2 room parapet wall outer </t>
  </si>
  <si>
    <t xml:space="preserve">LIFT 1 &amp; 2 room parapet wall inner </t>
  </si>
  <si>
    <t>Stair case 1 ,2 &amp; 3 Room Outer parapet wall outer</t>
  </si>
  <si>
    <t xml:space="preserve">Stair case 1 ,2 &amp; 3 Room Outer parapet wall inner </t>
  </si>
  <si>
    <t xml:space="preserve">Water tank outer alround top projection middle areea </t>
  </si>
  <si>
    <t>Water tank outer alround top projection aree</t>
  </si>
  <si>
    <t xml:space="preserve">Water tank outer alround </t>
  </si>
  <si>
    <t xml:space="preserve">Stair case 1 ,2 &amp; 3 Room outer </t>
  </si>
  <si>
    <t>Sunshade SW1 side (1st to 14 th floor)</t>
  </si>
  <si>
    <t>Sunshade SW1 top (1st to 14 th floor)</t>
  </si>
  <si>
    <t>Sunshade SW side (1st to 14 th floor)</t>
  </si>
  <si>
    <t>Sunshade SW top (1st to 14 th floor)</t>
  </si>
  <si>
    <t>Sunshade W 1side  (1st to 14 th floor)</t>
  </si>
  <si>
    <t>Sunshade W1 top (1st to 14 th floor)</t>
  </si>
  <si>
    <t>Sunshade W side  (1st to 14 th floor)</t>
  </si>
  <si>
    <t>Sunshade W top (1st to 14 th floor)</t>
  </si>
  <si>
    <t xml:space="preserve">Sunshade W1 side stilt floor </t>
  </si>
  <si>
    <t xml:space="preserve">Sunshade W1 top stilt floor </t>
  </si>
  <si>
    <t xml:space="preserve">d/f Open </t>
  </si>
  <si>
    <t xml:space="preserve">Alround basement lvevel </t>
  </si>
  <si>
    <t xml:space="preserve">Basement </t>
  </si>
  <si>
    <t>Outer plastering</t>
  </si>
  <si>
    <t xml:space="preserve">
'Garbage alround inner
</t>
  </si>
  <si>
    <t xml:space="preserve">
Shoe rack  support wall top
</t>
  </si>
  <si>
    <t xml:space="preserve">
Shoe rack  support wall corner 
</t>
  </si>
  <si>
    <t>Add jams</t>
  </si>
  <si>
    <t>Main &amp; Fire S/C inner alround 3 sides</t>
  </si>
  <si>
    <t xml:space="preserve">Building outer wall </t>
  </si>
  <si>
    <t>OTS outer  3 sides</t>
  </si>
  <si>
    <t xml:space="preserve">OTS outer  2 side </t>
  </si>
  <si>
    <t>OTS inner 3 sides</t>
  </si>
  <si>
    <t>OTS inner 2 sides</t>
  </si>
  <si>
    <t xml:space="preserve">Add D jams </t>
  </si>
  <si>
    <t xml:space="preserve">Electrical duct room wall inner alround </t>
  </si>
  <si>
    <t xml:space="preserve">Add W1 jams </t>
  </si>
  <si>
    <t>D/F W1</t>
  </si>
  <si>
    <t xml:space="preserve">Add RS jams </t>
  </si>
  <si>
    <t>D/F RS</t>
  </si>
  <si>
    <t xml:space="preserve">Pump room alround inner </t>
  </si>
  <si>
    <t xml:space="preserve">Toilet front passage alround </t>
  </si>
  <si>
    <t xml:space="preserve">Add RV jams </t>
  </si>
  <si>
    <t xml:space="preserve">Add D2 jams </t>
  </si>
  <si>
    <t xml:space="preserve">Secrity room toilet </t>
  </si>
  <si>
    <t xml:space="preserve">Add SLW jams </t>
  </si>
  <si>
    <t xml:space="preserve">D/F SLW </t>
  </si>
  <si>
    <t xml:space="preserve">Scecurity room in front Horizontal wall </t>
  </si>
  <si>
    <t>1-</t>
  </si>
  <si>
    <t>Scecurity room in front vertical wall</t>
  </si>
  <si>
    <t xml:space="preserve">Add SLW1 jams </t>
  </si>
  <si>
    <t>D/F SLW1</t>
  </si>
  <si>
    <t xml:space="preserve">Security room alround </t>
  </si>
  <si>
    <t xml:space="preserve">Gentrator room inner alround </t>
  </si>
  <si>
    <t xml:space="preserve">front passage </t>
  </si>
  <si>
    <t xml:space="preserve">Office room toilet inner alround </t>
  </si>
  <si>
    <t>Office room front entry side &amp; middle wall</t>
  </si>
  <si>
    <t xml:space="preserve">Office room alround </t>
  </si>
  <si>
    <t>D/F EMD</t>
  </si>
  <si>
    <t>EMD outer wall side</t>
  </si>
  <si>
    <t xml:space="preserve">Add EBD jams </t>
  </si>
  <si>
    <t xml:space="preserve">EB room 2 side entrance area </t>
  </si>
  <si>
    <t xml:space="preserve">Front open </t>
  </si>
  <si>
    <t>D/F EBD</t>
  </si>
  <si>
    <t xml:space="preserve">EB 1 side entrance area </t>
  </si>
  <si>
    <t xml:space="preserve">EB room 1 &amp; 2 alround </t>
  </si>
  <si>
    <t xml:space="preserve">In Stilt floor/Ground floor </t>
  </si>
  <si>
    <t>Plastering in C.M. 1:5, 12mm thick</t>
  </si>
  <si>
    <t xml:space="preserve">Service lift </t>
  </si>
  <si>
    <t xml:space="preserve">Base slab projection </t>
  </si>
  <si>
    <t xml:space="preserve">OHT cover slab </t>
  </si>
  <si>
    <t xml:space="preserve">shoerack </t>
  </si>
  <si>
    <t>shoerack</t>
  </si>
  <si>
    <t>Shelf</t>
  </si>
  <si>
    <t>Ward robe</t>
  </si>
  <si>
    <t>Bed 2</t>
  </si>
  <si>
    <t>Bed 1</t>
  </si>
  <si>
    <t>showcase</t>
  </si>
  <si>
    <t>FIRE Escape Stair</t>
  </si>
  <si>
    <t>Main Staircase</t>
  </si>
  <si>
    <t>Floor plastering in C.M. 1:4, 20mm thick</t>
  </si>
  <si>
    <t>Flooring in C.C1:5:10</t>
  </si>
  <si>
    <t>1st to 14 the floor doors frame MD,D,D1</t>
  </si>
  <si>
    <t xml:space="preserve">For Stilt floor security room &amp; Office </t>
  </si>
  <si>
    <t>SW</t>
  </si>
  <si>
    <t>SW1</t>
  </si>
  <si>
    <t xml:space="preserve">Supply and fixing of UPVC Window </t>
  </si>
  <si>
    <t>Stilt floor security room &amp; Office room</t>
  </si>
  <si>
    <t>Supply and fixing of magnetic door catches</t>
  </si>
  <si>
    <t xml:space="preserve">Stilt floor Common  &amp; Office roomtoilet </t>
  </si>
  <si>
    <t xml:space="preserve">For Common &amp; Attached toilet </t>
  </si>
  <si>
    <t>Main door</t>
  </si>
  <si>
    <t>b. TW below 2m length</t>
  </si>
  <si>
    <t xml:space="preserve">Main door frame  Vertical </t>
  </si>
  <si>
    <t>a. TW over 2m - 3m length</t>
  </si>
  <si>
    <t>Teak wood wrought &amp; put up</t>
  </si>
  <si>
    <t>EB room-2,3,&amp;4</t>
  </si>
  <si>
    <t>C/W between Security room to EB room-1</t>
  </si>
  <si>
    <t xml:space="preserve">a. Stilt floor /ground floor </t>
  </si>
  <si>
    <t>Precast Jally ventilator 50mm tk.using standardised concrete mix cum0 (annexure) without vibrating charges</t>
  </si>
  <si>
    <t xml:space="preserve">b) In First Floor </t>
  </si>
  <si>
    <t xml:space="preserve">Security room C/B </t>
  </si>
  <si>
    <t xml:space="preserve">a. Stilt floor /Ground floor </t>
  </si>
  <si>
    <t xml:space="preserve">Providing CUDDAPPAH SLAB for cupboard 40mm thick </t>
  </si>
  <si>
    <t>(b) First Floor</t>
  </si>
  <si>
    <t xml:space="preserve">Providing CUDDAPPAH SLAB for cupboard 20mm thick </t>
  </si>
  <si>
    <t>Brick partition in C.M. 1:4 using country bricks of size 22 x11x5CM 50 mm thick</t>
  </si>
  <si>
    <t xml:space="preserve">kitchen (Nahani trap) platform </t>
  </si>
  <si>
    <t xml:space="preserve">shoe rack Middle wall </t>
  </si>
  <si>
    <t>shoe rack alround 3 side</t>
  </si>
  <si>
    <t>Kitchen Shelf</t>
  </si>
  <si>
    <t>Bed 1 &amp; 2 Cupboard</t>
  </si>
  <si>
    <t>Bed 2 &amp; Bed 1 Wardroom</t>
  </si>
  <si>
    <t>Hall C/b</t>
  </si>
  <si>
    <t>Brick partition wall 75mm thick</t>
  </si>
  <si>
    <t xml:space="preserve">Cross wall </t>
  </si>
  <si>
    <t xml:space="preserve">A-Block water tank walls </t>
  </si>
  <si>
    <t xml:space="preserve">Alround parapet wall </t>
  </si>
  <si>
    <t>AT  below wall</t>
  </si>
  <si>
    <t>Common Toilet (IWC) Skin wall (Soap)</t>
  </si>
  <si>
    <t>Common Toilet (IWC) below wall</t>
  </si>
  <si>
    <t xml:space="preserve">Kitchen Hearth slab support wall </t>
  </si>
  <si>
    <t>Kitchen Hearth slab support wall</t>
  </si>
  <si>
    <t xml:space="preserve">EB Duct &amp; Garbage duct inbetween wall </t>
  </si>
  <si>
    <t xml:space="preserve">EB duct front wall </t>
  </si>
  <si>
    <t xml:space="preserve">Flat front foryer wall </t>
  </si>
  <si>
    <t>C/W between WC to passage</t>
  </si>
  <si>
    <t>C/W between CT  to Bed 2</t>
  </si>
  <si>
    <t>C/W between Kitchen  to Passage &amp; C.T</t>
  </si>
  <si>
    <t xml:space="preserve">C/W between Kitchen to Service room </t>
  </si>
  <si>
    <t>C/W between Bath to Kitchen</t>
  </si>
  <si>
    <t>Add above lintel bath</t>
  </si>
  <si>
    <t>C/W between Bed 1 to kitchen ,bath</t>
  </si>
  <si>
    <t xml:space="preserve">
C/W between Hall to Bed 2
</t>
  </si>
  <si>
    <t>D/F Door support wall</t>
  </si>
  <si>
    <t>C/W between Hall to Bed 1</t>
  </si>
  <si>
    <t xml:space="preserve">Flats </t>
  </si>
  <si>
    <t>c) In First floor</t>
  </si>
  <si>
    <t xml:space="preserve">D/F Duct open </t>
  </si>
  <si>
    <t xml:space="preserve">Vertical wall </t>
  </si>
  <si>
    <t xml:space="preserve">Public toilet horizontal wall </t>
  </si>
  <si>
    <t>Toilet wall</t>
  </si>
  <si>
    <t>Office  Room Toilet wall</t>
  </si>
  <si>
    <t>b) In Stilt floor/Ground floor</t>
  </si>
  <si>
    <t>Brick partition wall in CM 1:4, 114mm thick</t>
  </si>
  <si>
    <t xml:space="preserve">Fire OHT parapet wall </t>
  </si>
  <si>
    <t xml:space="preserve">Service lift alround </t>
  </si>
  <si>
    <t xml:space="preserve">Passanger lift allround </t>
  </si>
  <si>
    <t xml:space="preserve">Lift parapet wall </t>
  </si>
  <si>
    <t xml:space="preserve">Lift  wall </t>
  </si>
  <si>
    <t>Fire S/C parapet wall alround</t>
  </si>
  <si>
    <t>Main &amp; Fire S/C parapet wall</t>
  </si>
  <si>
    <t>D/f GD</t>
  </si>
  <si>
    <t>Fire head room wall 3 side</t>
  </si>
  <si>
    <t>OHT below brick work</t>
  </si>
  <si>
    <t xml:space="preserve">S/C side passage wall </t>
  </si>
  <si>
    <t xml:space="preserve">Garbage duct vertical wall </t>
  </si>
  <si>
    <t xml:space="preserve">OTS wall vertical </t>
  </si>
  <si>
    <t>Passage Area</t>
  </si>
  <si>
    <t>Bed 2 Shelf</t>
  </si>
  <si>
    <t>Bed 2 W/R</t>
  </si>
  <si>
    <t>Bed 1 C/B</t>
  </si>
  <si>
    <t>W/R Bed 1</t>
  </si>
  <si>
    <t>Showcase shelf Hall</t>
  </si>
  <si>
    <t>Floor Bed</t>
  </si>
  <si>
    <t>D/F FW</t>
  </si>
  <si>
    <t>D/F W</t>
  </si>
  <si>
    <t>D/f passage open</t>
  </si>
  <si>
    <t xml:space="preserve">D/F MD Maindoor </t>
  </si>
  <si>
    <t>D/F Lintel</t>
  </si>
  <si>
    <t>D/F Sill concrete</t>
  </si>
  <si>
    <t>D/F VX</t>
  </si>
  <si>
    <t xml:space="preserve">Gate front pillar </t>
  </si>
  <si>
    <t xml:space="preserve">Passage Wall </t>
  </si>
  <si>
    <t xml:space="preserve">Bed 1 &amp; Bed 2 door support pillar </t>
  </si>
  <si>
    <t xml:space="preserve">Bed 2 , Hall &amp; OTS, lift inbetween wall </t>
  </si>
  <si>
    <t xml:space="preserve">Bed 2 side wall </t>
  </si>
  <si>
    <t xml:space="preserve">Building Alround </t>
  </si>
  <si>
    <t xml:space="preserve">S/C side </t>
  </si>
  <si>
    <t>D/F SLW</t>
  </si>
  <si>
    <t xml:space="preserve">Service lift front side </t>
  </si>
  <si>
    <t xml:space="preserve">Add main entry </t>
  </si>
  <si>
    <t>C/W between lift side</t>
  </si>
  <si>
    <t xml:space="preserve">Garbage duct wall </t>
  </si>
  <si>
    <t>D/F ED1</t>
  </si>
  <si>
    <t xml:space="preserve">C/W between Flat front  horizontal </t>
  </si>
  <si>
    <t xml:space="preserve">C/W between Flat  horizontal </t>
  </si>
  <si>
    <t xml:space="preserve">Main and Fire S/C wall </t>
  </si>
  <si>
    <t xml:space="preserve">C/W between Flat  Vertical          </t>
  </si>
  <si>
    <t>OTS side</t>
  </si>
  <si>
    <t>OTS 2 side</t>
  </si>
  <si>
    <t>OTS 3 side</t>
  </si>
  <si>
    <t xml:space="preserve">toilet vertical wall </t>
  </si>
  <si>
    <t xml:space="preserve">Pumproom alround </t>
  </si>
  <si>
    <t xml:space="preserve">Office toilet vertical wall </t>
  </si>
  <si>
    <t xml:space="preserve">Gentrator room alround </t>
  </si>
  <si>
    <t>D/F toilet passage open</t>
  </si>
  <si>
    <t>D/F Window SLW</t>
  </si>
  <si>
    <t>D/F Door GD</t>
  </si>
  <si>
    <t xml:space="preserve">EB Room side wall </t>
  </si>
  <si>
    <t xml:space="preserve">EB Room alround wall </t>
  </si>
  <si>
    <t>(a) Stilt Floor/Ground Floor</t>
  </si>
  <si>
    <t>Birck work in CM 1:6 using chambar burnt brick of size 23X11.4X7.5</t>
  </si>
  <si>
    <t xml:space="preserve">coverb slab </t>
  </si>
  <si>
    <t xml:space="preserve">Wall Concrete </t>
  </si>
  <si>
    <t>Base Slab Area</t>
  </si>
  <si>
    <t>Sunshade   SW1</t>
  </si>
  <si>
    <t>Sunshade  SW</t>
  </si>
  <si>
    <t>Lintel  SW1</t>
  </si>
  <si>
    <t>Lintel SW</t>
  </si>
  <si>
    <t>Sill slab  SW1</t>
  </si>
  <si>
    <t>Sill slab  SW</t>
  </si>
  <si>
    <t>Head Room Slab</t>
  </si>
  <si>
    <t>Cover Slab</t>
  </si>
  <si>
    <t xml:space="preserve">Inner wall </t>
  </si>
  <si>
    <t>I.</t>
  </si>
  <si>
    <t xml:space="preserve">Base Slab </t>
  </si>
  <si>
    <t>Parapet wall building alround</t>
  </si>
  <si>
    <t>AC Slab</t>
  </si>
  <si>
    <t>ROOF SLAB CONCRETE</t>
  </si>
  <si>
    <t>Kitchen loft</t>
  </si>
  <si>
    <t xml:space="preserve">bed-2 Loft </t>
  </si>
  <si>
    <t xml:space="preserve">bed-1 Loft </t>
  </si>
  <si>
    <t xml:space="preserve">Hall loft </t>
  </si>
  <si>
    <t xml:space="preserve">Kitchen hearth slab </t>
  </si>
  <si>
    <t xml:space="preserve">C/W between toilet </t>
  </si>
  <si>
    <t xml:space="preserve">C/W between A.T &amp; Kitchen </t>
  </si>
  <si>
    <t xml:space="preserve">C/W between toilet &amp; Kitchen wall </t>
  </si>
  <si>
    <t xml:space="preserve">C/W between toilet wall </t>
  </si>
  <si>
    <t>O</t>
  </si>
  <si>
    <t>GD</t>
  </si>
  <si>
    <t>MD</t>
  </si>
  <si>
    <t xml:space="preserve">SW1 sunshade </t>
  </si>
  <si>
    <t xml:space="preserve">SW sunshade </t>
  </si>
  <si>
    <t xml:space="preserve">W sunshade </t>
  </si>
  <si>
    <t xml:space="preserve">FW Sunshade </t>
  </si>
  <si>
    <t xml:space="preserve"> FW</t>
  </si>
  <si>
    <t xml:space="preserve">Lintel &amp;window  </t>
  </si>
  <si>
    <t>Hall FW</t>
  </si>
  <si>
    <t xml:space="preserve">Fire Staircase 1st Flight </t>
  </si>
  <si>
    <t>D/F Lift front  Door LD1</t>
  </si>
  <si>
    <t>D/F Lift front  Door LD</t>
  </si>
  <si>
    <t xml:space="preserve">Service Lift wall alround </t>
  </si>
  <si>
    <t xml:space="preserve">Lift 1 &amp; 2  wall alround </t>
  </si>
  <si>
    <t>Lift Vertical Wall</t>
  </si>
  <si>
    <t>COLUMN CONCRETE</t>
  </si>
  <si>
    <t>(j) In tenth Floor</t>
  </si>
  <si>
    <t>ED1</t>
  </si>
  <si>
    <t>ED</t>
  </si>
  <si>
    <t>EMD</t>
  </si>
  <si>
    <t>SLW1</t>
  </si>
  <si>
    <t xml:space="preserve">SLW Sunshade </t>
  </si>
  <si>
    <t>SLW</t>
  </si>
  <si>
    <t xml:space="preserve">W1 Sunshade </t>
  </si>
  <si>
    <t>c6</t>
  </si>
  <si>
    <t xml:space="preserve">a.Stilt  floor/Ground floor </t>
  </si>
  <si>
    <t>4.2.3</t>
  </si>
  <si>
    <t>Front enterance step</t>
  </si>
  <si>
    <t>Electrical DUCT Inspection chamber building aroud</t>
  </si>
  <si>
    <t>Horizontal Wall</t>
  </si>
  <si>
    <t>Stilt floor carparking area</t>
  </si>
  <si>
    <t xml:space="preserve">PCC 1:2:4 using 20mm HBSJ </t>
  </si>
  <si>
    <t>PCC1:5:10 using 40mm HBS jelly in foundation and basement</t>
  </si>
  <si>
    <t>(a)  0 to 2mt</t>
  </si>
  <si>
    <t>Earth work excavation  (including Refilling)</t>
  </si>
  <si>
    <t>L</t>
  </si>
  <si>
    <t>Agt No</t>
  </si>
  <si>
    <t xml:space="preserve">TAMILNADU POLICE HOUSING CORPORATION LTD </t>
  </si>
  <si>
    <t xml:space="preserve">Detailed Estimate    (100 in1 - 1block -Stilt+10)   </t>
  </si>
  <si>
    <t>Name of Work: Construction of 100 Nos. Of Police constable /Head Constable quarters (Stilt +10 floors  100 in 1 ) at Thallakulam in Madurai city.</t>
  </si>
  <si>
    <t>Cement CONCRETE using Design Mix cum M25 Grade  CONCRETE</t>
  </si>
  <si>
    <t xml:space="preserve">Service Staircase 1st Flight </t>
  </si>
  <si>
    <t xml:space="preserve">Service S/C front passage </t>
  </si>
  <si>
    <t>Garbage 0ffset</t>
  </si>
  <si>
    <t>Store</t>
  </si>
  <si>
    <t>EB front area</t>
  </si>
  <si>
    <t xml:space="preserve">P).ELEVENTH floor </t>
  </si>
  <si>
    <t xml:space="preserve">1st to 10th floor bottom bed </t>
  </si>
  <si>
    <t>alround OTS 1,2,3,4,5,6,7,8</t>
  </si>
  <si>
    <t>alround OTS 9,10</t>
  </si>
  <si>
    <t xml:space="preserve">1st to 10th floor </t>
  </si>
  <si>
    <t>1st to 10th floor C.T &amp; A.T</t>
  </si>
  <si>
    <t xml:space="preserve">1st to 10th floor bed 1 &amp; bed 2 </t>
  </si>
  <si>
    <t xml:space="preserve">1st to 10th floor (bed1,M-Bed ) door </t>
  </si>
  <si>
    <t>1st to 10th floor service romm D1</t>
  </si>
  <si>
    <t>1st to 10th floor bed 1 &amp; bed 2</t>
  </si>
  <si>
    <t xml:space="preserve">parapet  to 10th floor </t>
  </si>
  <si>
    <t xml:space="preserve">parapet  to 9th floor </t>
  </si>
  <si>
    <t xml:space="preserve">parapet  to 8th floor </t>
  </si>
  <si>
    <t xml:space="preserve">parapet  to 7th floor </t>
  </si>
  <si>
    <t xml:space="preserve">parapet  to 6 th floor </t>
  </si>
  <si>
    <t xml:space="preserve">Security room &amp; Office room 3 th to 10th floor </t>
  </si>
  <si>
    <t xml:space="preserve">8th floor to 10 th floor Horizontal </t>
  </si>
  <si>
    <t xml:space="preserve">Stilt to 10 th floor </t>
  </si>
  <si>
    <t xml:space="preserve">Stilt to 11 th floor service lift </t>
  </si>
  <si>
    <t>Parking area 1,4</t>
  </si>
  <si>
    <t>Parking area 2,3,5</t>
  </si>
  <si>
    <t>Staircase 1,2</t>
  </si>
  <si>
    <t>Staircase front</t>
  </si>
  <si>
    <t>Staircase passage</t>
  </si>
  <si>
    <t>Sitout</t>
  </si>
  <si>
    <t>Lobby</t>
  </si>
  <si>
    <t>OTS&amp; Sitout</t>
  </si>
  <si>
    <t>Staircase 3</t>
  </si>
  <si>
    <t>Lift area front 3</t>
  </si>
  <si>
    <t xml:space="preserve">Duct portion </t>
  </si>
  <si>
    <t>FOOTINGS</t>
  </si>
  <si>
    <t>FOOTINGS- F1</t>
  </si>
  <si>
    <t>F2</t>
  </si>
  <si>
    <t>F3</t>
  </si>
  <si>
    <t>F4</t>
  </si>
  <si>
    <t>F1©- combined footing</t>
  </si>
  <si>
    <t>Deduction offset F1©</t>
  </si>
  <si>
    <t>Do</t>
  </si>
  <si>
    <t>F2©</t>
  </si>
  <si>
    <t>F3©</t>
  </si>
  <si>
    <t>F4©</t>
  </si>
  <si>
    <t>F5©</t>
  </si>
  <si>
    <t>F6© offset</t>
  </si>
  <si>
    <t>do</t>
  </si>
  <si>
    <t>Deduction offset F6©</t>
  </si>
  <si>
    <t>F7©</t>
  </si>
  <si>
    <t>Deduction offset F7©</t>
  </si>
  <si>
    <t>F8©</t>
  </si>
  <si>
    <t>F9©</t>
  </si>
  <si>
    <t>F10©</t>
  </si>
  <si>
    <t>F11©</t>
  </si>
  <si>
    <t>Deduction offset F11©</t>
  </si>
  <si>
    <t>F11© offset</t>
  </si>
  <si>
    <t xml:space="preserve">F12© </t>
  </si>
  <si>
    <t>F12© offset</t>
  </si>
  <si>
    <t>F13©</t>
  </si>
  <si>
    <t>F14©</t>
  </si>
  <si>
    <t>Deduction offset F14©</t>
  </si>
  <si>
    <t>Lift 2 -No</t>
  </si>
  <si>
    <t>Footing depth avg 0.85 M</t>
  </si>
  <si>
    <t>Column upto Grade Bottom</t>
  </si>
  <si>
    <t>Column - C1</t>
  </si>
  <si>
    <t>Lift 1 -2nos Vertical wall</t>
  </si>
  <si>
    <t xml:space="preserve">Lift 2 </t>
  </si>
  <si>
    <t xml:space="preserve"> Grade Beam</t>
  </si>
  <si>
    <t>Wall around ( 14.59+9.125)*2nos</t>
  </si>
  <si>
    <t>Column upto Grade top</t>
  </si>
  <si>
    <t>Column deduction</t>
  </si>
  <si>
    <t xml:space="preserve"> Plinth Beam</t>
  </si>
  <si>
    <t>Column upto Basement top</t>
  </si>
  <si>
    <t xml:space="preserve">Main Staircase </t>
  </si>
  <si>
    <t>Flat front passage area Lobby</t>
  </si>
  <si>
    <t>Extra</t>
  </si>
  <si>
    <t>Corridor &amp; Lobby</t>
  </si>
  <si>
    <t>Deduction</t>
  </si>
  <si>
    <t xml:space="preserve">Fire Staircase </t>
  </si>
  <si>
    <t xml:space="preserve">Corridor area between wall </t>
  </si>
  <si>
    <t>Footing details</t>
  </si>
  <si>
    <t>Combined Footing Portion 1</t>
  </si>
  <si>
    <t>Combined Footing Portion 2</t>
  </si>
  <si>
    <t>F1</t>
  </si>
  <si>
    <t xml:space="preserve">Brick work in CM 1:5 using Fly ash bournt brick of size 23X11.4X7.5  In foundation and basement </t>
  </si>
  <si>
    <t>As per item No.35</t>
  </si>
  <si>
    <t>filling Gravel</t>
  </si>
  <si>
    <t>Deduction 13.1 Qty -892.00m3</t>
  </si>
  <si>
    <t xml:space="preserve">Wall around </t>
  </si>
  <si>
    <t>House 5</t>
  </si>
  <si>
    <t>Bed2 inside</t>
  </si>
  <si>
    <t>Att.Toilet</t>
  </si>
  <si>
    <t>Bed1</t>
  </si>
  <si>
    <t>Sit out</t>
  </si>
  <si>
    <t>Staircase</t>
  </si>
  <si>
    <t>Entrance</t>
  </si>
  <si>
    <t>House1to4</t>
  </si>
  <si>
    <t xml:space="preserve">Bed1 </t>
  </si>
  <si>
    <t>Middle wall Toilet</t>
  </si>
  <si>
    <t>Hall inside</t>
  </si>
  <si>
    <t>OTS,SIT,inside</t>
  </si>
  <si>
    <t>Lift inside</t>
  </si>
  <si>
    <t>lobby inside</t>
  </si>
  <si>
    <t>Store inside</t>
  </si>
  <si>
    <t>Garbage</t>
  </si>
  <si>
    <t>OTS, Staicase</t>
  </si>
  <si>
    <t>Toe beam</t>
  </si>
  <si>
    <t>House  5 front lobby</t>
  </si>
  <si>
    <t>EB duct</t>
  </si>
  <si>
    <t>Column offset</t>
  </si>
  <si>
    <t>Plinth Beam</t>
  </si>
  <si>
    <t>1st to 10th floor bed 1 &amp; 2</t>
  </si>
  <si>
    <t>Sunshade W top (1st to 10 th floor)</t>
  </si>
  <si>
    <t>Sunshade W side  (1st to 10. th floor)</t>
  </si>
  <si>
    <t>Sunshade W1 top (1st to 10 th floor)</t>
  </si>
  <si>
    <t>Sunshade W 1side  (1st to 10 th floor)</t>
  </si>
  <si>
    <t>Sunshade SW top (1st to 10 th floor)</t>
  </si>
  <si>
    <t>Sunshade SW side (1st to 10 th floor)</t>
  </si>
  <si>
    <t>Sunshade SW1 top (1st to 10 th floor)</t>
  </si>
  <si>
    <t>Sunshade SW1 side (1st to 10 th floor)</t>
  </si>
  <si>
    <t xml:space="preserve">FF to 10th floor </t>
  </si>
  <si>
    <t xml:space="preserve">1 st to 10th floor (100 Quarters )
 C.T &amp; A.T wash Area </t>
  </si>
  <si>
    <t>1st to 10th floor main door</t>
  </si>
  <si>
    <t xml:space="preserve">1st to 10th floor C.T &amp; A.T </t>
  </si>
  <si>
    <t xml:space="preserve">1st to 10th floor Common and attaced toilet </t>
  </si>
  <si>
    <t>Staircase service</t>
  </si>
  <si>
    <t>CHENNAI DIVISION-II</t>
  </si>
  <si>
    <t>Lift</t>
  </si>
  <si>
    <t>Borewell</t>
  </si>
  <si>
    <t>SAY</t>
  </si>
  <si>
    <t>N/W: Construction of 896 Nos. of Police Constable /Head Constable quarters (stilt +10 floors -1 block of 100 in 1) at Thallakulam in Madurai city</t>
  </si>
  <si>
    <t>SUMP DESIGN PER BLOCK</t>
  </si>
  <si>
    <t>Number of houses</t>
  </si>
  <si>
    <t>Approximate member / house</t>
  </si>
  <si>
    <t>Quantity of water required per head</t>
  </si>
  <si>
    <t>Litres</t>
  </si>
  <si>
    <t>quantity of water required (112 x 5 x 135)</t>
  </si>
  <si>
    <t>Cosidering future expansion at 1.5 times</t>
  </si>
  <si>
    <t>Assuming depth of sump</t>
  </si>
  <si>
    <t>Area of the sump   (3.14X 8.00  )</t>
  </si>
  <si>
    <t>Sq.m</t>
  </si>
  <si>
    <t>Hence by assuming 30cm as free board</t>
  </si>
  <si>
    <t>Sump capacity = ( 3.14X 8 x 8/4 ) X 3.00</t>
  </si>
  <si>
    <r>
      <t>m</t>
    </r>
    <r>
      <rPr>
        <vertAlign val="superscript"/>
        <sz val="10.5"/>
        <rFont val="Verdana"/>
        <family val="2"/>
      </rPr>
      <t>3</t>
    </r>
  </si>
  <si>
    <t xml:space="preserve">Provide 1 nos per block </t>
  </si>
  <si>
    <t>Capacity of sump (1 Nos)</t>
  </si>
  <si>
    <t xml:space="preserve">Fire Sump for 1 block </t>
  </si>
  <si>
    <t>consuming Sump for 1 block</t>
  </si>
  <si>
    <t>Detailed estimate for Sump</t>
  </si>
  <si>
    <t>Sl.no</t>
  </si>
  <si>
    <t>Content</t>
  </si>
  <si>
    <t>Earthwork excavation for open foundation</t>
  </si>
  <si>
    <t>a) 0 to 2.00 m Depth</t>
  </si>
  <si>
    <t>3.14/4X 10.18x10.18</t>
  </si>
  <si>
    <t xml:space="preserve"> m3</t>
  </si>
  <si>
    <t>b)2 to 3 m depth</t>
  </si>
  <si>
    <t>P.C.C 1:5:10 using 40mm HBSJ foundation &amp; base slab</t>
  </si>
  <si>
    <t>For sump</t>
  </si>
  <si>
    <t>M30 grade mix design  HBSJ in foundation &amp; basement</t>
  </si>
  <si>
    <t>For sump COVER</t>
  </si>
  <si>
    <t>3.14/4X 8.96x8.96</t>
  </si>
  <si>
    <t>For beam</t>
  </si>
  <si>
    <t>3.14X8.96X0.23X0.450</t>
  </si>
  <si>
    <t>D/d Manhole cover</t>
  </si>
  <si>
    <t>for base slab wall round</t>
  </si>
  <si>
    <t>3.14/4X9.96x9.96</t>
  </si>
  <si>
    <t>Middle column</t>
  </si>
  <si>
    <t>3.14/4X0.45X0.45</t>
  </si>
  <si>
    <t>1st Step</t>
  </si>
  <si>
    <t>3.14x8.48X0.26</t>
  </si>
  <si>
    <t>2nd Step</t>
  </si>
  <si>
    <t>3.14x8.09x.15</t>
  </si>
  <si>
    <t>Pump room</t>
  </si>
  <si>
    <t>3.14/2X8.96x0.23</t>
  </si>
  <si>
    <t>Brick partition wall in Cm 1:4 110mm tk using C.B for F&amp;B etc</t>
  </si>
  <si>
    <t>Outer wall allround base slab</t>
  </si>
  <si>
    <t>3.14X10.07</t>
  </si>
  <si>
    <t>Outer wall allround</t>
  </si>
  <si>
    <t>3.14X8.83</t>
  </si>
  <si>
    <t>Inner wall 1st step</t>
  </si>
  <si>
    <t>3.14X8.11</t>
  </si>
  <si>
    <t>Inner wall 2nd step</t>
  </si>
  <si>
    <t>3.14X8.33</t>
  </si>
  <si>
    <t xml:space="preserve"> m2</t>
  </si>
  <si>
    <t>Plastering with cm 1:3 12mm Tk with WPC</t>
  </si>
  <si>
    <t>Inner wall 1st step Al rd</t>
  </si>
  <si>
    <t>3.14X8.00</t>
  </si>
  <si>
    <t>Inner wall 2nt step Al rd</t>
  </si>
  <si>
    <t>3.14X8.22</t>
  </si>
  <si>
    <t>Plastering with CM 1:5 12mm tk</t>
  </si>
  <si>
    <t>Outer wall al rd</t>
  </si>
  <si>
    <t>3.14X8.96</t>
  </si>
  <si>
    <t>Outer wall al rd pump</t>
  </si>
  <si>
    <t>3.14/2X8.96</t>
  </si>
  <si>
    <t>Fabrication of ms/rs steel grills</t>
  </si>
  <si>
    <t>8 mm</t>
  </si>
  <si>
    <t>10mm</t>
  </si>
  <si>
    <t>12mm</t>
  </si>
  <si>
    <t>16mm</t>
  </si>
  <si>
    <t>Matt M.Rod 12mm</t>
  </si>
  <si>
    <t>Chair rod 12mm</t>
  </si>
  <si>
    <t>column vertical 16mm</t>
  </si>
  <si>
    <t>L rod 16mm</t>
  </si>
  <si>
    <t>strppus 8mm</t>
  </si>
  <si>
    <t>Beam m.r 16mm</t>
  </si>
  <si>
    <t>Extra 12mm</t>
  </si>
  <si>
    <t>Extra 16mm</t>
  </si>
  <si>
    <t>vertical 12mm</t>
  </si>
  <si>
    <t>Dis 8mm</t>
  </si>
  <si>
    <t>Roof slab</t>
  </si>
  <si>
    <t>Matt M.Rod 10mm</t>
  </si>
  <si>
    <t>extra 16mm</t>
  </si>
  <si>
    <t>Ring 8mm</t>
  </si>
  <si>
    <t>SS16mm</t>
  </si>
  <si>
    <t>Supplying and fixing of Ci manhole cover 0.6X0.6 Cm etc</t>
  </si>
  <si>
    <t>For manhole cover</t>
  </si>
  <si>
    <t>S/F of CI steps</t>
  </si>
  <si>
    <t>For Supm</t>
  </si>
  <si>
    <t>Form works</t>
  </si>
  <si>
    <r>
      <rPr>
        <b/>
        <sz val="11"/>
        <color theme="1"/>
        <rFont val="Cambria"/>
        <family val="1"/>
        <scheme val="major"/>
      </rPr>
      <t>e)</t>
    </r>
    <r>
      <rPr>
        <sz val="11"/>
        <color theme="1"/>
        <rFont val="Cambria"/>
        <family val="1"/>
        <scheme val="major"/>
      </rPr>
      <t>Sump cover slab Al rd</t>
    </r>
  </si>
  <si>
    <t>pump cover slab Al rd</t>
  </si>
  <si>
    <t>Sump side allround</t>
  </si>
  <si>
    <t>Dedection MH cover</t>
  </si>
  <si>
    <t>0.6x0.6</t>
  </si>
  <si>
    <t>Beam sides</t>
  </si>
  <si>
    <t>Column</t>
  </si>
  <si>
    <t>3.14x0.30</t>
  </si>
  <si>
    <t>Earthwork excavation for foundation</t>
  </si>
  <si>
    <t>SCHEME ROAD DETAILED ESTIMATE</t>
  </si>
  <si>
    <t>Sl no</t>
  </si>
  <si>
    <t>Gandhi statue adjcent side</t>
  </si>
  <si>
    <t>S/F of foundation &amp; base ment with filling sand etc complete</t>
  </si>
  <si>
    <t>PCC 1:5:10 using 40mm HBSJ</t>
  </si>
  <si>
    <t>PCC 1:2:4 using 20mm HBS jelly including curing etc…</t>
  </si>
  <si>
    <t>Bittumanus filler pad 20mm Tk</t>
  </si>
  <si>
    <t>Painting the new iron work</t>
  </si>
  <si>
    <t>Providing Kerb stone etc all complete</t>
  </si>
  <si>
    <t>Building around</t>
  </si>
  <si>
    <t>DETAILED  ESTIMATE</t>
  </si>
  <si>
    <t xml:space="preserve">Description of work </t>
  </si>
  <si>
    <t xml:space="preserve">Measurement in Mtrs </t>
  </si>
  <si>
    <t>Design, Supply, Delivery, Installation,Testing,  and Commissioning of Passenger Lift (Brand: Johnson / Kone / OTIS or equivalent) of capacity 13 Persons / 884 Kgs with 14 Floors / 15 Stops / STAINLESS STEEL (1.5 mm) Car Cabin as per the following specifications Three phase  EB power supply should be get from the TNEB for installation and testing etc for completion of work .</t>
  </si>
  <si>
    <t>Type of Lift</t>
  </si>
  <si>
    <t>:</t>
  </si>
  <si>
    <t>PASSENGER</t>
  </si>
  <si>
    <t>Load / Speed</t>
  </si>
  <si>
    <t>13 Persons (884Kgs.) / 1.25 Mtr. Per Second</t>
  </si>
  <si>
    <t>Drive</t>
  </si>
  <si>
    <t>MICRO PROCESSOR BASED VVVF</t>
  </si>
  <si>
    <t>Travel / PIT / HEADROOM</t>
  </si>
  <si>
    <t>47  METER / PIT 1800mm / HEADROOM 4800 mm</t>
  </si>
  <si>
    <t>Number Of Floors</t>
  </si>
  <si>
    <t>14 (GROUND + 14 UPPER FLOORS)</t>
  </si>
  <si>
    <t>Floor Display Char</t>
  </si>
  <si>
    <t>0,1,2,3,4,5,6,7,8,9,10,11,12,13,14</t>
  </si>
  <si>
    <t>Number Of Landing Entrances</t>
  </si>
  <si>
    <t>15 (GROUND + 14 UPPER FLOORS)</t>
  </si>
  <si>
    <t>Number and Position of Car Entrances</t>
  </si>
  <si>
    <t>1 (ONE), IN FRONT ONLY</t>
  </si>
  <si>
    <t>Position Of Machinery</t>
  </si>
  <si>
    <t>MACHINE ROOMLESS - GEARLESS</t>
  </si>
  <si>
    <t>Size of Lift Well</t>
  </si>
  <si>
    <t>2450 X 1850 X 2200
(MM Wide * MM Depth)</t>
  </si>
  <si>
    <t>Lift Car Inside Size</t>
  </si>
  <si>
    <t>1500 X 1400 X 2200 (MM Wide * MM Depth * MM Height)</t>
  </si>
  <si>
    <t>Clear opening of Gates / Doors / Lintel</t>
  </si>
  <si>
    <t>900 X 2000 (MM Wide * MM Height) Lintel - 2200 mm</t>
  </si>
  <si>
    <t>Type or Design of Lift Car</t>
  </si>
  <si>
    <t>STAINLESS STEEL (1.5 mm) - HAIRLINE FINISH</t>
  </si>
  <si>
    <t>Additional Car Spec</t>
  </si>
  <si>
    <t>Car Ceiling - Car Floor</t>
  </si>
  <si>
    <t>SLEEK (SMALL CIRCULAR LIGHTS) - SS HAIRLINE FINISH -PVC</t>
  </si>
  <si>
    <t>Car Fittings</t>
  </si>
  <si>
    <t>LED LIGHTS &amp; REGULAR (CIRCULAR) - FAN</t>
  </si>
  <si>
    <t>Type Of Car Front Entrance Protection</t>
  </si>
  <si>
    <t>POWER OPERATED CENTRE OPENING SLIDING DOOR - STAINLESS STEEL
(1.5 mm) - HAIRLINE FINISH</t>
  </si>
  <si>
    <t>Land Entrance Protection (0,1,2,3,4,5,6,7,8,9,10,11,12,13,14 )</t>
  </si>
  <si>
    <t>CENTRE OPENING SLIDING DOOR - STAINLESS STEEL (1.5 mm) - HAIRLINE FINISH</t>
  </si>
  <si>
    <t>Landing Door Frame (0,1,2,3,4,5,6,7,8,9,10,11,12,13,14 )</t>
  </si>
  <si>
    <t>Type Of Control System</t>
  </si>
  <si>
    <t>MICROPROCESSOR BASED SIMPLEX SELECTIVE COLLECTIVE CONTROL WITH / WITHOUT ATTENDENT</t>
  </si>
  <si>
    <t>Electric Supply</t>
  </si>
  <si>
    <t>AC 3 PHASE, 50 CYCLES, 415 VOLTS ±10%</t>
  </si>
  <si>
    <t>For Blocks 'A,B,C,D,E,F &amp; G</t>
  </si>
  <si>
    <t>Design, Supply, Delivery, Installation,Testing,  and Commissioning of Service Lift (Brand: Johnson / Kone / OTIS/Sukranth or equivalent) of capacity 24 Persons /1632 Kgs with 14 Floors / 15 Stops / STAINLESS STEEL (1.5 mm) Car Cabin as per the following specifications Three phase  EB power supply should be get from the TNEB for installation and testing etc for completion of work .</t>
  </si>
  <si>
    <t>24 Persons (1632 Kgs.) / 1.25 Mtr. Per Second</t>
  </si>
  <si>
    <t>1200 X 2000 (MM Wide * MM Height) Lintel - 2200 mm</t>
  </si>
  <si>
    <t>Annual Maintance Charges for the lift suppplied and installed for the period of four years after the free warranty period of one year including all to complete etc .</t>
  </si>
  <si>
    <t>For first one year (Free Service)</t>
  </si>
  <si>
    <t xml:space="preserve">For Second one year @ 5% of the Contract value </t>
  </si>
  <si>
    <t>Luminaires</t>
  </si>
  <si>
    <t>Service room</t>
  </si>
  <si>
    <t xml:space="preserve">Foyer </t>
  </si>
  <si>
    <t xml:space="preserve">Main and Fire S/C </t>
  </si>
  <si>
    <t xml:space="preserve">Basement including EB room, Security room,  Pumproom, Office room, Genarator room  </t>
  </si>
  <si>
    <t>1 Blocks</t>
  </si>
  <si>
    <t>For 1 Blocks</t>
  </si>
  <si>
    <t xml:space="preserve"> Security room, Office room</t>
  </si>
  <si>
    <t xml:space="preserve">Supply and fixing of WT bulk head fitting suitable for 12 W LED lamps complete with all acessories on wall </t>
  </si>
  <si>
    <t xml:space="preserve">at stair portion Head room </t>
  </si>
  <si>
    <t>at lift</t>
  </si>
  <si>
    <t xml:space="preserve">EB room, Security room,  Pumproom, Office room, Genarator room  </t>
  </si>
  <si>
    <t xml:space="preserve">Supply and fixing of 12 W LED  fittings with  suitable fWT bulk head fittingor lamps complete with all acessories on wall </t>
  </si>
  <si>
    <t>Supply and fixing of 9 / 10 W LED bulb ( 3 star rated)  on the BH point including necessary connections, cost of materials etc all complete</t>
  </si>
  <si>
    <t xml:space="preserve">EB room, Security room, Pumproom, Office room, Genarator room  </t>
  </si>
  <si>
    <t>Run of 2 wires of 4 sqmm PVC insulated single core multi strand fire retardant flexible copper cable with ISI mark confirming IS :694:1990</t>
  </si>
  <si>
    <t>AC power plug (M-bed room )</t>
  </si>
  <si>
    <t>(Stilt +10 floor)</t>
  </si>
  <si>
    <t>For Blocks '</t>
  </si>
  <si>
    <t xml:space="preserve">For Blocks,F &amp; G service lift </t>
  </si>
  <si>
    <t>Construction of 100 Nos. Of Police constable /Head Constable quarters (Stilt +10 floors  100 in 1 ) at Thallakulam in Madurai city.</t>
  </si>
  <si>
    <t>N/W:  Design, Supply, Delivery, Installation,Testing,  and Commissioning of Passenger Lift for the Construction of 100 Nos. Of Police constable /Head Constable quarters (Stilt +10 floors  100 in 1 ) at Thallakulam in Madurai city.</t>
  </si>
  <si>
    <t>GENSET - DETAILED ESTIMATE</t>
  </si>
  <si>
    <t>250KVA - Genset model KG1-250WS Close coupled Diesel Generating Set with KIRLOSKAR make CPCB IV Plus Engine Model developing Water cooled coupled with KIRLOSKAR Green make 250 kVA (200 kW) 3 Phase, 415V, 1500 RPM alternator, With AMF Control Panel Suitable for 1 EB Service – 3 PH), Base Frame, Fuel Tank, Batteries with leads and other accessories with type approved KG Canopy as a complete set.
Including First fill of lube oil and Engine Safeties – LLOP, HWT</t>
  </si>
  <si>
    <t>Building Lift &amp; Corridor , Staircase area only</t>
  </si>
  <si>
    <t>LIGHTING ARRESTOR - DETAILED ESTIMATE</t>
  </si>
  <si>
    <t>ESEAT Lighting Arre HSN Code:-85354010</t>
  </si>
  <si>
    <t>ESEAT Lighting Arrester Level IV Mounting 4.5mtrs HSN Code:-73089070</t>
  </si>
  <si>
    <t>Mounting 4.5mtrs 300x300x 150x150 GI PIPE 8mm Alum DOWN CONDUC HSN Code:-73121010</t>
  </si>
  <si>
    <t>8mm Alum DOWN CONDUCTOR Counter IP 65 HSN Code:-90291090</t>
  </si>
  <si>
    <t>Top to bottom building</t>
  </si>
  <si>
    <t>Counter 4 Digit lighting Event Counter IP 65 Test Link HSN Code:-74071090</t>
  </si>
  <si>
    <t>Test Link BOX IP 65 Earth Electrode 2 Mt HSN Code:-72159020</t>
  </si>
  <si>
    <t>Earth Electrode with 25Kg of Carbon based BFC Installation at ESEA HSN Code:-84791000</t>
  </si>
  <si>
    <t>ESE Lighting Arrester, Mounting Structure,Down Con</t>
  </si>
  <si>
    <t>Drilling of bore well to a size of 150 mm dia to the required depth as directed including cost Rig,fuel etc.complete.</t>
  </si>
  <si>
    <t>a) 150m below  ground level</t>
  </si>
  <si>
    <t>Bore well 4Nos</t>
  </si>
  <si>
    <t xml:space="preserve">b) 151m to 180m </t>
  </si>
  <si>
    <t>c) 181m to 210m</t>
  </si>
  <si>
    <t>d) 211 m to 240m</t>
  </si>
  <si>
    <t>Supplyng and  laying   of 150 mm dia casing  pvc pipe of 6kg/cm2 as approved including labour charges for errection etc.,</t>
  </si>
  <si>
    <t>Supplying and fixing of 150 mm dia G.I cover are completed.</t>
  </si>
  <si>
    <t xml:space="preserve">ANNEXURE </t>
  </si>
  <si>
    <t>Supply and delivery of 5HP submersible  pumpset (three phase)</t>
  </si>
  <si>
    <t>for borewell</t>
  </si>
  <si>
    <t xml:space="preserve">Lobour charges for errection of submersible pumpsets at bore well etc,.complete.  </t>
  </si>
  <si>
    <t>Open well pumpset</t>
  </si>
  <si>
    <t>Supplying and fixing of three phase panel board for 5 HP submersible pumpsets.</t>
  </si>
  <si>
    <t>Supply and delivery of 4 sqmm. 3core flat cable for submersible pumpset.</t>
  </si>
  <si>
    <t>Open Well pumpset</t>
  </si>
  <si>
    <t>Supplying and delivery of UPVC pipe 32 mm dia of approved brand.</t>
  </si>
  <si>
    <t>Bore well</t>
  </si>
  <si>
    <t>Supply and delivery of nylon rope</t>
  </si>
  <si>
    <t>borewell</t>
  </si>
  <si>
    <t>Supply and delivery of the following dia G.I pipe.' B' class of approved brand.</t>
  </si>
  <si>
    <t>a) 25 mm dia G.I pipe.</t>
  </si>
  <si>
    <t>Bore well  cable line casing</t>
  </si>
  <si>
    <t>Supply and delivery of following Submersible pumpset three phase circuit unit of approved brand including accessoring.</t>
  </si>
  <si>
    <t>a) 5.0 HP Open Well Submersible Pump</t>
  </si>
  <si>
    <t>Stand by</t>
  </si>
  <si>
    <t>Supplying and delivery of PVC pipe 10 kg /cm2</t>
  </si>
  <si>
    <t>a)110 mm dia (inner) PVC pipe.</t>
  </si>
  <si>
    <t>Road Lenght</t>
  </si>
  <si>
    <t xml:space="preserve">Sump 1,2 to Road </t>
  </si>
  <si>
    <t>b 63 mm dia (inner) PVC pipe.</t>
  </si>
  <si>
    <t>c 50 mm dia (inner) PVC pipe.</t>
  </si>
  <si>
    <t>c 32 mm dia (inner) PVC pipe.</t>
  </si>
  <si>
    <t>Sump to Borewell</t>
  </si>
  <si>
    <t>a) 65 mm dia G.I pipe.</t>
  </si>
  <si>
    <t>Pumproom I &amp; II ,  suction pipe</t>
  </si>
  <si>
    <t>b) 50 mm dia G.I pipe.</t>
  </si>
  <si>
    <t>Pumproom I &amp; II inter connection</t>
  </si>
  <si>
    <t xml:space="preserve"> PC /HC valve chamber</t>
  </si>
  <si>
    <t>Supply and delivery of following dia G.I specials.</t>
  </si>
  <si>
    <t>a)</t>
  </si>
  <si>
    <t>50 mm dia G.I gate valve.</t>
  </si>
  <si>
    <t>Pumproom I &amp; II</t>
  </si>
  <si>
    <t>motor inter connection</t>
  </si>
  <si>
    <t>Valve chamber PC/HC</t>
  </si>
  <si>
    <t>Valve chamber outer</t>
  </si>
  <si>
    <t>b)</t>
  </si>
  <si>
    <t>50 mm dia G.I union.</t>
  </si>
  <si>
    <t>Pumproom I &amp; II Chamber</t>
  </si>
  <si>
    <t>c)</t>
  </si>
  <si>
    <t>50 mm dia G.I nipple.</t>
  </si>
  <si>
    <t>d)</t>
  </si>
  <si>
    <t>65mm dia foot valve</t>
  </si>
  <si>
    <t xml:space="preserve">Pumproom I &amp; II </t>
  </si>
  <si>
    <t>e)</t>
  </si>
  <si>
    <t>50mmX40mm G.I, Tee</t>
  </si>
  <si>
    <t>PC</t>
  </si>
  <si>
    <t>Labour charges for laying of G.I. Pipe and PVC pipe above ground level</t>
  </si>
  <si>
    <t>As per above item 5 nos</t>
  </si>
  <si>
    <t>Labour charges for laying of  PVC Pipe and PVC pipe below ground level</t>
  </si>
  <si>
    <t>BORE WELL &amp; EXTERNAL WATER - DETAILED ESTIMATE</t>
  </si>
  <si>
    <t>Bore well 2Nos</t>
  </si>
  <si>
    <t xml:space="preserve">Qtrs &amp; Fire </t>
  </si>
  <si>
    <t>N/W: Supply and installation lighting arrester for Construction of 100 Nos. of Police Constable /Head Constable quarters (stilt +10 floors -1 block of 100 in 1) at Thallakulam in Madurai city</t>
  </si>
  <si>
    <t xml:space="preserve">1st to 10th floor bed 1 &amp; 2, </t>
  </si>
  <si>
    <t xml:space="preserve">1st to 10th floor Service room , </t>
  </si>
  <si>
    <t>Column upto  Plinth Beam</t>
  </si>
  <si>
    <t>Madurai  Division</t>
  </si>
  <si>
    <t xml:space="preserve">AEE/Mdu </t>
  </si>
  <si>
    <t>AE/Mdu</t>
  </si>
  <si>
    <t>N/W: Construction of 100 Nos. of Police Constable /Head Constable quarters (stilt +10 floors -1 block of 100 in 1) at Thallakulam in Madurai city</t>
  </si>
  <si>
    <t>AE/Mdu.Dn</t>
  </si>
  <si>
    <t>Madurai Division</t>
  </si>
  <si>
    <r>
      <t xml:space="preserve">Form work - </t>
    </r>
    <r>
      <rPr>
        <b/>
        <sz val="12"/>
        <rFont val="Cambria"/>
        <family val="1"/>
        <scheme val="major"/>
      </rPr>
      <t>M.S. Sheet</t>
    </r>
  </si>
  <si>
    <r>
      <rPr>
        <b/>
        <sz val="12"/>
        <rFont val="Cambria"/>
        <family val="1"/>
        <scheme val="major"/>
      </rPr>
      <t>Water tank</t>
    </r>
    <r>
      <rPr>
        <sz val="12"/>
        <rFont val="Cambria"/>
        <family val="1"/>
        <scheme val="major"/>
      </rPr>
      <t xml:space="preserve"> interconnection</t>
    </r>
  </si>
  <si>
    <r>
      <t xml:space="preserve">Supply and fixing of 4' 18 W batten LED fitting complete with all accessories on wall / ceiling with PVC unsheathed copper leads from terminal to the fitting </t>
    </r>
    <r>
      <rPr>
        <b/>
        <sz val="12"/>
        <rFont val="Cambria"/>
        <family val="1"/>
        <scheme val="major"/>
      </rPr>
      <t xml:space="preserve">
</t>
    </r>
  </si>
  <si>
    <r>
      <t>Supply and fixing of 25 W LED street light fitting with 19 mm dia pipe ( class b) with 1 No. 19 mm  GI bend complete on the existing post / wall with 16 A aerial fuse unit on MS plate with PVC unsheated Cu, leads with MS clampos and aluminium painting with flu.tubes.</t>
    </r>
    <r>
      <rPr>
        <b/>
        <sz val="12"/>
        <rFont val="Cambria"/>
        <family val="1"/>
        <scheme val="major"/>
      </rPr>
      <t xml:space="preserve">
</t>
    </r>
  </si>
  <si>
    <t>Filling C.S. Sand</t>
  </si>
  <si>
    <t xml:space="preserve">S&amp;F of  ABP membrance for Toilet </t>
  </si>
  <si>
    <t>Com Toilet</t>
  </si>
  <si>
    <t xml:space="preserve">For building </t>
  </si>
  <si>
    <t>MAIN MV PANEL</t>
  </si>
  <si>
    <t>Supply, Installation, Testing and Commissioning of Medium Voltage floor mounting Cubicle Type Distribution Board suitable for 415 V, 3 Phase, 50 Hz Power Distribution System with the following mounting complete as per specifications attached.</t>
  </si>
  <si>
    <t>A) Incomer (Transformer )  :</t>
  </si>
  <si>
    <t>1600AMPS ACB, 50 KA (Ics) AC Manual Draw Out ( MDO ) Type  Four Pole Microprocessor based relay having Over current, short circuit with time setting and 6NO+6 NC, indication for test, service,isolated ON/OFF tripindications, ShutterAssembly, Racking  interlock Manual /Electrical closing&amp; tripping</t>
  </si>
  <si>
    <t>Metering Compartment:</t>
  </si>
  <si>
    <t xml:space="preserve">1 No- Digital Load Manager of Enercon Make (No.3460) or eqvt. </t>
  </si>
  <si>
    <t>1 Set – 1000/5A CT CL0.5 15VA for Measurement</t>
  </si>
  <si>
    <t>1 Set –1000/5A CT CL 1 15VA for PF Correction Relay</t>
  </si>
  <si>
    <t>1 Set – Indication lamps for R,Y,B, Breaker ON(Red), Breaker OFF (Green), Breaker Trip (Amber) with control fuses.</t>
  </si>
  <si>
    <t>1No - Earth fault relay -CDG11(Alstom make)</t>
  </si>
  <si>
    <t>Note: Provision should be made to connect  4 Runs of 100x12mm copper bus duct at the top</t>
  </si>
  <si>
    <t xml:space="preserve">B). DG INCOMER </t>
  </si>
  <si>
    <t xml:space="preserve">630AMPS ACB, 50 KA (Ics) AC Motor operated Draw Out ( EDO )Type Four Pole Microprocessor based relay having Over current, instantaneous Over Current, thermal short circuit and earth fault features inbuilt /Plug in release with LCD Display of all Parameters likeAmperes, Volts, Power Factor individual trip  indication required number of CurrentTransformers, 4NO + 4 NC,indication for test,service,isolated ON /OFF tripindications, operationcounter, ShutterAssembly,Racking interlock Manual /Electrical closing&amp; tripping RS 485 CommunicationPort /Modbus protocol etc. as specified in the technical Specifications. </t>
  </si>
  <si>
    <t xml:space="preserve">1 No. Multiparameter with suitable CTs . </t>
  </si>
  <si>
    <t>C)  Busbar:</t>
  </si>
  <si>
    <t xml:space="preserve">1 Set of 1600 A, TP&amp; N Copper Busbar Chamber for the entire length of the MV Panel as per specification </t>
  </si>
  <si>
    <t>OUTGOINGS:</t>
  </si>
  <si>
    <r>
      <t xml:space="preserve">630Amps TPN Switch Disconnector Fuse Unit with 630A HRC Fuselinks - </t>
    </r>
    <r>
      <rPr>
        <b/>
        <sz val="12"/>
        <rFont val="Times New Roman"/>
        <family val="1"/>
      </rPr>
      <t>2 Nos.</t>
    </r>
  </si>
  <si>
    <r>
      <t xml:space="preserve">630Amps TP&amp;N Fixed Type MCCB with Manual Closing Mechanism of 36 kA Short Circuit Rating with Thermal O/L and Magnetic S/C Protection - </t>
    </r>
    <r>
      <rPr>
        <b/>
        <sz val="12"/>
        <rFont val="Times New Roman"/>
        <family val="1"/>
      </rPr>
      <t>1 Nos.</t>
    </r>
  </si>
  <si>
    <r>
      <t xml:space="preserve">400Amps TPN Switch Disconnector Fuse Unit with 400A HRC Fuselinks - </t>
    </r>
    <r>
      <rPr>
        <b/>
        <sz val="12"/>
        <rFont val="Times New Roman"/>
        <family val="1"/>
      </rPr>
      <t>1 Nos.</t>
    </r>
  </si>
  <si>
    <r>
      <t xml:space="preserve">250Amps TPN Switch Disconnector Fuse Unit with 250A HRC Fuselinks - </t>
    </r>
    <r>
      <rPr>
        <b/>
        <sz val="12"/>
        <rFont val="Times New Roman"/>
        <family val="1"/>
      </rPr>
      <t>2 Nos.</t>
    </r>
  </si>
  <si>
    <r>
      <t xml:space="preserve">125Amps TPN Switch Disconnector Fuse Unit with 125A HRC Fuselinks - </t>
    </r>
    <r>
      <rPr>
        <b/>
        <sz val="12"/>
        <rFont val="Times New Roman"/>
        <family val="1"/>
      </rPr>
      <t>2 Nos.</t>
    </r>
  </si>
  <si>
    <r>
      <t xml:space="preserve">Note : </t>
    </r>
    <r>
      <rPr>
        <sz val="12"/>
        <rFont val="Times New Roman"/>
        <family val="1"/>
      </rPr>
      <t xml:space="preserve">Suitable size outgoing cable chamber and extra busbars should be provided for connecting the number of outgoing cables as per the main MV schematic drawing. The board shall be fabricated for future extension of the panel board.  The transformer incomer and DG incomer  shall be electrical &amp; mechnical interlocking arrangements </t>
    </r>
    <r>
      <rPr>
        <b/>
        <sz val="12"/>
        <rFont val="Times New Roman"/>
        <family val="1"/>
      </rPr>
      <t>Incoming feeders shall have digital type multi parameters, meters with all relays and releases shall be micro processor based .</t>
    </r>
  </si>
  <si>
    <t xml:space="preserve"> N/W : Providing Bore Well and  external water supply arrangements for Construction of 100 Nos. of Police Constable /Head Constable quarters (stilt +10 floors -1 block of 100 in 1) at Thallakulam in Madurai city</t>
  </si>
  <si>
    <t>(Stilt +11 floor)</t>
  </si>
  <si>
    <t xml:space="preserve">chamber to 10th floor </t>
  </si>
  <si>
    <t>AEE/Mdu.Dn</t>
  </si>
  <si>
    <t xml:space="preserve">Qtrs </t>
  </si>
  <si>
    <t>1st to 10th floor MD &amp; Bed1 , Bed 2 &amp; Service Room  D1</t>
  </si>
  <si>
    <t xml:space="preserve">Footing </t>
  </si>
  <si>
    <t>Deduction F4(c)</t>
  </si>
  <si>
    <t>Offset</t>
  </si>
  <si>
    <t>Vertical wall (4.885+3.78++.23)</t>
  </si>
  <si>
    <t>Vertical wall (2.57+.23+1.2)</t>
  </si>
  <si>
    <t>Middle wall (1.9+.23+1.8+0.23+1.9)</t>
  </si>
  <si>
    <t>Horizontal Wall ( 3.31-0.23 )</t>
  </si>
  <si>
    <t>Horizontal Wall (2.10+0.23+6.965)</t>
  </si>
  <si>
    <t>Horizontal Wall ( 2.97+0.23+3)</t>
  </si>
  <si>
    <t>Vertical wall ( 5.23+1.838+0.60)</t>
  </si>
  <si>
    <t>I/C</t>
  </si>
  <si>
    <t>Finishing the top of Terrace Floor with Pressed tiles</t>
  </si>
  <si>
    <t>Do fire service</t>
  </si>
  <si>
    <t>Main Staircase First Flight</t>
  </si>
  <si>
    <t>Fire Staircase First Flight</t>
  </si>
  <si>
    <t>Main Staircase Second Flight</t>
  </si>
  <si>
    <t>Fire Staircase Second Flight</t>
  </si>
  <si>
    <t>Main Staircase Mid Landing</t>
  </si>
  <si>
    <t>Fire Staircase Mid Landing</t>
  </si>
  <si>
    <t>Bed-2 and Com.Toilet</t>
  </si>
  <si>
    <t>Kitchen, Service Verandah and Att.Toilet</t>
  </si>
  <si>
    <t>Corrider Portion</t>
  </si>
  <si>
    <t>Lobby and Corrider</t>
  </si>
  <si>
    <t>OTS and Lift Portion</t>
  </si>
  <si>
    <t>Fire Staircase, Lift Service Portion and Lobby Portion</t>
  </si>
  <si>
    <t>OTS and Lobby Portion</t>
  </si>
  <si>
    <t>Main Staircase Corrider Portion</t>
  </si>
  <si>
    <t>Lobby and Corrider Portion</t>
  </si>
  <si>
    <t>Entrance Lobby</t>
  </si>
  <si>
    <t>Lift Service</t>
  </si>
  <si>
    <t>Service Verandah and Duct Middle Beam GB1</t>
  </si>
  <si>
    <t>Kitchen and Service Verandah Middle Beam GB2</t>
  </si>
  <si>
    <t>Corrider Cross Beam GB2</t>
  </si>
  <si>
    <t>Corrider Cross Beam GB1</t>
  </si>
  <si>
    <t>First Floor to Tenth Floor</t>
  </si>
  <si>
    <t>Com.Toilet</t>
  </si>
  <si>
    <t>Com.Toilet IWC Portion</t>
  </si>
  <si>
    <t>Service Verandah</t>
  </si>
  <si>
    <t>For Terrace Floor</t>
  </si>
  <si>
    <t>Main Staircase Head Room Terrace</t>
  </si>
  <si>
    <t xml:space="preserve">Lift Head Room Terrace </t>
  </si>
  <si>
    <t>Service Lift Head Room Terrace</t>
  </si>
  <si>
    <t>Fire Staircase Head Room Terrace</t>
  </si>
  <si>
    <t>Stilt Floor Terrace</t>
  </si>
  <si>
    <t>Single Block</t>
  </si>
  <si>
    <t>OTS Middle Portion</t>
  </si>
  <si>
    <t>Corrider Lift Left Side</t>
  </si>
  <si>
    <t>Corrider Lift Right Side</t>
  </si>
  <si>
    <t>Fire and EB Duct Offset</t>
  </si>
  <si>
    <t>EB and Serivce Duct Offset</t>
  </si>
  <si>
    <t xml:space="preserve">EB and Garbage Duct </t>
  </si>
  <si>
    <t>Main Staircase Lobby</t>
  </si>
  <si>
    <t xml:space="preserve">For Skirting </t>
  </si>
  <si>
    <t>Main Staircase Head Room Terrace Alround</t>
  </si>
  <si>
    <t>Lift Head Room Terrace Alround</t>
  </si>
  <si>
    <t>Service Head Room Terrace Alround</t>
  </si>
  <si>
    <t>Fire Staircase Head Room Terrace Alround</t>
  </si>
  <si>
    <t>Building Alround</t>
  </si>
  <si>
    <t>Column C2</t>
  </si>
  <si>
    <t>Stilt Floor to Eleventh Floor</t>
  </si>
  <si>
    <t>Lift Terrace Floor</t>
  </si>
  <si>
    <t>Lift Handrail</t>
  </si>
  <si>
    <t>Fire Staircase to Terrace Handrail</t>
  </si>
  <si>
    <t>Service Lift Handrail</t>
  </si>
  <si>
    <t>Inspection Chamber</t>
  </si>
  <si>
    <t>Electrical Duct for Building</t>
  </si>
  <si>
    <t>Electrical Duct for Building Outer</t>
  </si>
  <si>
    <t>Security Room</t>
  </si>
  <si>
    <t>Security Room Offset</t>
  </si>
  <si>
    <t>Office Room</t>
  </si>
  <si>
    <t>Office Room Offset</t>
  </si>
  <si>
    <t>EB Room</t>
  </si>
  <si>
    <t>Common Area</t>
  </si>
  <si>
    <t>Common Area Offset</t>
  </si>
  <si>
    <t>Main Staircase, Corrider and OTS</t>
  </si>
  <si>
    <t>Parking Area</t>
  </si>
  <si>
    <t>Parking Area Offset</t>
  </si>
  <si>
    <t>For Roof Beam</t>
  </si>
  <si>
    <t>Main Staircase Tie Beam</t>
  </si>
  <si>
    <t>Fire Staircase Tie Beam</t>
  </si>
  <si>
    <t>Hall and Bed-1 Middle Beam</t>
  </si>
  <si>
    <t>Kitchen and Service Verandah Middle Beam</t>
  </si>
  <si>
    <t>Kitchen and Att.Toilet Middle Beam</t>
  </si>
  <si>
    <t>Com.Toilet and Bed-2 Middle Beam</t>
  </si>
  <si>
    <t>Att.Toilet Below Beam</t>
  </si>
  <si>
    <t>Duct and Service Verandah Below Beam</t>
  </si>
  <si>
    <t>Hall and Bed-2 Middle Beam</t>
  </si>
  <si>
    <t>Bed-1 and Kichen Middle Beam</t>
  </si>
  <si>
    <t>OTS and Foyer Middle Beam</t>
  </si>
  <si>
    <t>Lobby Middle Beam</t>
  </si>
  <si>
    <t>Lobby and Corrider Beam</t>
  </si>
  <si>
    <t>Corrider Beam</t>
  </si>
  <si>
    <t>Lobby and Fire Staircase Middle Beam</t>
  </si>
  <si>
    <t>Lobby and Service Verandah</t>
  </si>
  <si>
    <t>OTS, Foyer and Lobby Middle Beam</t>
  </si>
  <si>
    <t>OTS Side Beam</t>
  </si>
  <si>
    <t>Bed-1 Rear Beam</t>
  </si>
  <si>
    <t xml:space="preserve">Lift </t>
  </si>
  <si>
    <t>Service Lift</t>
  </si>
  <si>
    <t>Open to Sky</t>
  </si>
  <si>
    <t xml:space="preserve">Duct </t>
  </si>
  <si>
    <t>EB</t>
  </si>
  <si>
    <t>Service</t>
  </si>
  <si>
    <t>Fire Duct</t>
  </si>
  <si>
    <t>Main Staircase Right Side</t>
  </si>
  <si>
    <t>Foyer</t>
  </si>
  <si>
    <t>Corrider</t>
  </si>
  <si>
    <t>Corrider Offset</t>
  </si>
  <si>
    <t>EB and Garbage Middle</t>
  </si>
  <si>
    <t xml:space="preserve">Lobby </t>
  </si>
  <si>
    <t>Lobby, Fire Staircase and Lift Service</t>
  </si>
  <si>
    <t>Lobby and Fire Duct</t>
  </si>
  <si>
    <t>Lobby, EB and Service</t>
  </si>
  <si>
    <t>Fire Duct and EB Offset</t>
  </si>
  <si>
    <t>Lobby and Corrider Offset</t>
  </si>
  <si>
    <t>EB and Corrider Offset</t>
  </si>
  <si>
    <t>For Loft</t>
  </si>
  <si>
    <t>Kitchen Hearth Slab</t>
  </si>
  <si>
    <t>Corrider Middle Beam</t>
  </si>
  <si>
    <t>Lobby and Service Verandah Middle Beam</t>
  </si>
  <si>
    <t>Lift Serivce</t>
  </si>
  <si>
    <t>Beam Joints</t>
  </si>
  <si>
    <t>Terrace Floor</t>
  </si>
  <si>
    <t>Fire Staircase</t>
  </si>
  <si>
    <t>Two Coat of Wall Putty</t>
  </si>
  <si>
    <t>Outer Side</t>
  </si>
  <si>
    <t>Water Tank</t>
  </si>
  <si>
    <t xml:space="preserve">Fire and Water Tank </t>
  </si>
  <si>
    <t>Water Tank Inner Alround</t>
  </si>
  <si>
    <t>Fire and Water Tank Alround</t>
  </si>
  <si>
    <t>Lift Landing</t>
  </si>
  <si>
    <t>Fire Staircase to Terrace Landing</t>
  </si>
  <si>
    <t>Service Lift Landing</t>
  </si>
  <si>
    <t>For Sunshade</t>
  </si>
  <si>
    <t>Window W1</t>
  </si>
  <si>
    <t>Window SW1</t>
  </si>
  <si>
    <t>Window SLW1</t>
  </si>
  <si>
    <t>Window FW &amp; Foyer Grill</t>
  </si>
  <si>
    <t>Window W</t>
  </si>
  <si>
    <t>Window SW</t>
  </si>
  <si>
    <t>Door GD</t>
  </si>
  <si>
    <t>Door D</t>
  </si>
  <si>
    <t>Door D4</t>
  </si>
  <si>
    <t>Door D5</t>
  </si>
  <si>
    <t>Spl. Ceiling plastering in C.M. 1:3,</t>
  </si>
  <si>
    <t>One coat of primer paint</t>
  </si>
  <si>
    <t>Door MD</t>
  </si>
  <si>
    <t>Window FW</t>
  </si>
  <si>
    <t>Window KW</t>
  </si>
  <si>
    <t>Ventilator V</t>
  </si>
  <si>
    <t>Foyer Grill</t>
  </si>
  <si>
    <t>Service Verandah Grill</t>
  </si>
  <si>
    <t>Garbage Grill</t>
  </si>
  <si>
    <t>Open to Sky Grill</t>
  </si>
  <si>
    <t>Door FD</t>
  </si>
  <si>
    <t>Door EBD</t>
  </si>
  <si>
    <t>Corrider Grill</t>
  </si>
  <si>
    <t>Fire Staircase Grill</t>
  </si>
  <si>
    <t>Fire Staircase GSD</t>
  </si>
  <si>
    <t>Water Tank Handrails and Step</t>
  </si>
  <si>
    <t>Fire staircase Grill door</t>
  </si>
  <si>
    <t>First Floor to Eleventh Floor</t>
  </si>
  <si>
    <t xml:space="preserve">Door D1 </t>
  </si>
  <si>
    <t xml:space="preserve">Kitchen Open </t>
  </si>
  <si>
    <t>Building</t>
  </si>
  <si>
    <t>Invertor ,Fridge point,  washing machine, Kitchen power plug &amp; Attaced toilet heater point &amp; AC Plug</t>
  </si>
  <si>
    <t>For Roof Slab</t>
  </si>
  <si>
    <t>Building Area</t>
  </si>
  <si>
    <t>Lift Alround</t>
  </si>
  <si>
    <t>Lift Service Alround</t>
  </si>
  <si>
    <t>Main Staircase Three Side Inner</t>
  </si>
  <si>
    <t>Fire Staircase Three Side Inner</t>
  </si>
  <si>
    <t>Add for Column Outer</t>
  </si>
  <si>
    <t>Roof Beam 300mm</t>
  </si>
  <si>
    <t>Roof Beam 400mm</t>
  </si>
  <si>
    <t>Roof Beam 450mm</t>
  </si>
  <si>
    <t>Roof Beam 600mm</t>
  </si>
  <si>
    <t>Roof Beam Below 450mm</t>
  </si>
  <si>
    <t>Add for Column Inner</t>
  </si>
  <si>
    <t>Single Block Alround</t>
  </si>
  <si>
    <t>Middle Longer Side Beam</t>
  </si>
  <si>
    <t>Bed-2, Com.Toilet, Kitchen and Service Verandah Middle Beam</t>
  </si>
  <si>
    <t>Att.Toilet and Duct Middle Beam</t>
  </si>
  <si>
    <t>Foyer, Lift and OTS Middle Beam</t>
  </si>
  <si>
    <t>Corrider Front and Rear Side</t>
  </si>
  <si>
    <t>OTS, Foyer and Lobbty Middle Beam</t>
  </si>
  <si>
    <t>Lobby and EB Room Middle Beam</t>
  </si>
  <si>
    <t>Lobby and Corrider Middle Beam</t>
  </si>
  <si>
    <t>Corrider and Fire Staircase Lobby Middle Beam</t>
  </si>
  <si>
    <t>Fire Staircase Left and Right Beam</t>
  </si>
  <si>
    <t>Fire Staircase Rear Beam</t>
  </si>
  <si>
    <t>Lift Service Left and Right Beam</t>
  </si>
  <si>
    <t>Lift Service Front Beam</t>
  </si>
  <si>
    <t>Main Staircase Rear Beam</t>
  </si>
  <si>
    <t>Main Staircase Front Beam</t>
  </si>
  <si>
    <t>Main Staircase Left Beam</t>
  </si>
  <si>
    <t>Main Staircase Right Beam</t>
  </si>
  <si>
    <t>OTS and Corrider Middle Beam</t>
  </si>
  <si>
    <t>Hall and OTS Middle Beam</t>
  </si>
  <si>
    <t>Main Staircase Right</t>
  </si>
  <si>
    <t>Building NorthEast and SouthEast Corner</t>
  </si>
  <si>
    <t>Building North and South Side</t>
  </si>
  <si>
    <t>Building NorthWest and SouthWest Corner</t>
  </si>
  <si>
    <t>Building Middle Portion</t>
  </si>
  <si>
    <t>For Main Staircase</t>
  </si>
  <si>
    <t>First Flight</t>
  </si>
  <si>
    <t>Mid Landing</t>
  </si>
  <si>
    <t>Second Flight</t>
  </si>
  <si>
    <t>Mid Landing Beam Three Side Outer</t>
  </si>
  <si>
    <t>Mid Landing Beam Three Side Inner</t>
  </si>
  <si>
    <t>For Fire Staircase</t>
  </si>
  <si>
    <t>For Sill Slab</t>
  </si>
  <si>
    <t>Window SLW</t>
  </si>
  <si>
    <t>For Lintel Bottom</t>
  </si>
  <si>
    <t>Door DD</t>
  </si>
  <si>
    <t>Door D3</t>
  </si>
  <si>
    <t>Door D2</t>
  </si>
  <si>
    <t>Rolling Shutter RS</t>
  </si>
  <si>
    <t>Door LD</t>
  </si>
  <si>
    <t>Door LD1</t>
  </si>
  <si>
    <t>Door DG</t>
  </si>
  <si>
    <t>For Lintel Side</t>
  </si>
  <si>
    <t>First Floor to Third Floor</t>
  </si>
  <si>
    <t>OTS Grill</t>
  </si>
  <si>
    <t>Door D1 and Window KW</t>
  </si>
  <si>
    <t>Open O</t>
  </si>
  <si>
    <t>Hall and Bed-1 Middle Wall</t>
  </si>
  <si>
    <t>Hall and Bed-2 Middle Wall</t>
  </si>
  <si>
    <t>Com.Toilet, Passage and Kitchen Middle Wall</t>
  </si>
  <si>
    <t>Bed-1 and Kichen Middle Wall</t>
  </si>
  <si>
    <t>Foyer Two Side</t>
  </si>
  <si>
    <t>Bed-1 and Bed-2</t>
  </si>
  <si>
    <t>Kitchen Hearth Slab Sink Side</t>
  </si>
  <si>
    <t>AC Slab OTS Side</t>
  </si>
  <si>
    <t>Fourth Floor to Tenth Floor</t>
  </si>
  <si>
    <t>Lift Head Room Terrace Bed</t>
  </si>
  <si>
    <t>Main Staircase Head Room Outer</t>
  </si>
  <si>
    <t>Main Staircase Head Room Inner</t>
  </si>
  <si>
    <t>Main Staircase Head Room Beam Middle</t>
  </si>
  <si>
    <t>Lift Head Room Terrace Outer</t>
  </si>
  <si>
    <t>Lift Head Room Terrace Inner</t>
  </si>
  <si>
    <t>Lift Head Room Terrace Beam</t>
  </si>
  <si>
    <t>Service Lift Head Room Outer</t>
  </si>
  <si>
    <t>Service Lift Head Room Inner</t>
  </si>
  <si>
    <t>Service Lift Head Room Beam Middle</t>
  </si>
  <si>
    <t>Fire Staircase Head Room Outer</t>
  </si>
  <si>
    <t>Fire Staircase Head Room Inner</t>
  </si>
  <si>
    <t>Fire Staircase Head Room Beam</t>
  </si>
  <si>
    <t>Lift Staircase</t>
  </si>
  <si>
    <t>Fire Staircase to Terrace</t>
  </si>
  <si>
    <t>Third Flight</t>
  </si>
  <si>
    <t>Service Lift Staircase</t>
  </si>
  <si>
    <t>For Water Tank and Fire Tank</t>
  </si>
  <si>
    <t>Water Tank Base Slab</t>
  </si>
  <si>
    <t>Water Tank Base Beam Outer</t>
  </si>
  <si>
    <t>Water Tank Base Beam Inner</t>
  </si>
  <si>
    <t>Water Tank Cover Slab</t>
  </si>
  <si>
    <t>Water Tank Cover Slab Outer</t>
  </si>
  <si>
    <t>Manhole</t>
  </si>
  <si>
    <t>Fire and Water Tank Base Slab</t>
  </si>
  <si>
    <t>Fire and Water Tank Base Beam Outer</t>
  </si>
  <si>
    <t>Fire Tank Base Beam Inner</t>
  </si>
  <si>
    <t>Fire Tank Cover Slab</t>
  </si>
  <si>
    <t>Fire and Water Tank Cover Slab Outer</t>
  </si>
  <si>
    <t>For Jambs</t>
  </si>
  <si>
    <t>Con.Toilet</t>
  </si>
  <si>
    <t>Passage Three Side</t>
  </si>
  <si>
    <t>Bottom and Top</t>
  </si>
  <si>
    <t>Building outside</t>
  </si>
  <si>
    <t>1st to 10th floor (100 quarters kitchen plat form )</t>
  </si>
  <si>
    <t>Kit &amp; Service</t>
  </si>
  <si>
    <t xml:space="preserve">For Basement </t>
  </si>
  <si>
    <t>Lift Wall Alround</t>
  </si>
  <si>
    <t>Lift Service Wall Alround</t>
  </si>
  <si>
    <t>Water Tank Wall Alround</t>
  </si>
  <si>
    <t>Fire Tank</t>
  </si>
  <si>
    <t>Fire Tank Alround</t>
  </si>
  <si>
    <r>
      <t>Supply and fixing of  10 W batten LED fitting complete with all accessories on wall / ceiling with PVC unsheathed copper leads from terminal to the fitting for mirroir light purposes</t>
    </r>
    <r>
      <rPr>
        <b/>
        <sz val="12"/>
        <rFont val="Cambria"/>
        <family val="1"/>
        <scheme val="major"/>
      </rPr>
      <t>.</t>
    </r>
  </si>
  <si>
    <t xml:space="preserve">Washbasin </t>
  </si>
  <si>
    <t>TW styles &amp; rails with 9mm thick BWR single leaf shutters  with brass screws size of 900 x 2100 mm</t>
  </si>
  <si>
    <t xml:space="preserve">Security </t>
  </si>
  <si>
    <t>Bed1,2</t>
  </si>
  <si>
    <t xml:space="preserve">Building </t>
  </si>
  <si>
    <t>Hall Passage</t>
  </si>
  <si>
    <t>Stilt Floor Passage</t>
  </si>
  <si>
    <t>Power Plug</t>
  </si>
  <si>
    <t>Att.Toilet (Heater)</t>
  </si>
  <si>
    <t>Service Verandah (Washing Machine)</t>
  </si>
  <si>
    <t>Kitchen (Frigde)</t>
  </si>
  <si>
    <t>Hall (Invertor)</t>
  </si>
  <si>
    <t>DB to Switch Board Itself</t>
  </si>
  <si>
    <t>Security Room and Office Room</t>
  </si>
  <si>
    <t>Pump Room</t>
  </si>
  <si>
    <t>DB to EB Room</t>
  </si>
  <si>
    <t xml:space="preserve">Lift and Lift Service </t>
  </si>
  <si>
    <t>DB Ground Floor to Fifth Floor</t>
  </si>
  <si>
    <t>DB Sixth Floor to Terrace Floor</t>
  </si>
  <si>
    <t>Main Staircase and Fire Staircase</t>
  </si>
  <si>
    <t xml:space="preserve">1 st to 10th floor (100 Quarters )
</t>
  </si>
  <si>
    <t xml:space="preserve">Flat  arera </t>
  </si>
  <si>
    <t xml:space="preserve">Add Skirting tiles </t>
  </si>
  <si>
    <t xml:space="preserve">Add flat front passage </t>
  </si>
  <si>
    <t>Add skirting tiles 2 side</t>
  </si>
  <si>
    <t xml:space="preserve">Main &amp; Fire S/C front passage area </t>
  </si>
  <si>
    <t>Add Skirting tiles 2 side</t>
  </si>
  <si>
    <t xml:space="preserve">D/F OTS </t>
  </si>
  <si>
    <t xml:space="preserve">Skirting tiles OTS alround </t>
  </si>
  <si>
    <t>Skirting tiles OTS 2 sides</t>
  </si>
  <si>
    <t xml:space="preserve">Lift alround skirting tiles </t>
  </si>
  <si>
    <t xml:space="preserve">Service lift front passage area </t>
  </si>
  <si>
    <t xml:space="preserve">Add skirting </t>
  </si>
  <si>
    <t xml:space="preserve">Head room area </t>
  </si>
  <si>
    <t xml:space="preserve">Main &amp; Fire S/C area </t>
  </si>
  <si>
    <t>Skirting tiles 3 side</t>
  </si>
  <si>
    <t>LIFT 1 &amp; 2</t>
  </si>
  <si>
    <t>White washing 3 coats  (slaked)</t>
  </si>
  <si>
    <t>(a) Ground Floor</t>
  </si>
</sst>
</file>

<file path=xl/styles.xml><?xml version="1.0" encoding="utf-8"?>
<styleSheet xmlns="http://schemas.openxmlformats.org/spreadsheetml/2006/main">
  <numFmts count="19">
    <numFmt numFmtId="5" formatCode="&quot;₹&quot;\ #,##0;&quot;₹&quot;\ \-#,##0"/>
    <numFmt numFmtId="44" formatCode="_ &quot;₹&quot;\ * #,##0.00_ ;_ &quot;₹&quot;\ * \-#,##0.00_ ;_ &quot;₹&quot;\ * &quot;-&quot;??_ ;_ @_ "/>
    <numFmt numFmtId="164" formatCode="&quot;$&quot;#,##0_);[Red]\(&quot;$&quot;#,##0\)"/>
    <numFmt numFmtId="165" formatCode="_(&quot;$&quot;* #,##0_);_(&quot;$&quot;* \(#,##0\);_(&quot;$&quot;* &quot;-&quot;_);_(@_)"/>
    <numFmt numFmtId="166" formatCode="_(&quot;$&quot;* #,##0.00_);_(&quot;$&quot;* \(#,##0.00\);_(&quot;$&quot;* &quot;-&quot;??_);_(@_)"/>
    <numFmt numFmtId="167" formatCode="_(* #,##0.00_);_(* \(#,##0.00\);_(* &quot;-&quot;??_);_(@_)"/>
    <numFmt numFmtId="168" formatCode="&quot;Rs.&quot;\ #,##0;&quot;Rs.&quot;\ \-#,##0"/>
    <numFmt numFmtId="169" formatCode="&quot;Rs.&quot;\ #,##0.00;[Red]&quot;Rs.&quot;\ \-#,##0.00"/>
    <numFmt numFmtId="170" formatCode="0.00_)"/>
    <numFmt numFmtId="171" formatCode="0_)"/>
    <numFmt numFmtId="172" formatCode="0.000_)"/>
    <numFmt numFmtId="173" formatCode="0.0_)"/>
    <numFmt numFmtId="174" formatCode="0.00000_)"/>
    <numFmt numFmtId="175" formatCode="0.0000_)"/>
    <numFmt numFmtId="177" formatCode="0.0"/>
    <numFmt numFmtId="178" formatCode="0.000"/>
    <numFmt numFmtId="179" formatCode="0.0000"/>
    <numFmt numFmtId="181" formatCode="_-&quot;€&quot;* #,##0.00_-;\-&quot;€&quot;* #,##0.00_-;_-&quot;€&quot;* &quot;-&quot;??_-;_-@_-"/>
    <numFmt numFmtId="182" formatCode="0.00;[Red]0.00"/>
  </numFmts>
  <fonts count="91">
    <font>
      <sz val="12"/>
      <name val="Helv"/>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Helv"/>
    </font>
    <font>
      <sz val="8"/>
      <name val="Arial"/>
      <family val="2"/>
    </font>
    <font>
      <sz val="10"/>
      <name val="Arial"/>
      <family val="2"/>
    </font>
    <font>
      <sz val="18"/>
      <name val="Times New Roman"/>
      <family val="1"/>
    </font>
    <font>
      <sz val="11"/>
      <color indexed="8"/>
      <name val="Calibri"/>
      <family val="2"/>
    </font>
    <font>
      <sz val="12"/>
      <name val="Bookman Old Style"/>
      <family val="1"/>
    </font>
    <font>
      <b/>
      <sz val="12"/>
      <name val="Times New Roman"/>
      <family val="1"/>
    </font>
    <font>
      <sz val="12"/>
      <name val="Times New Roman"/>
      <family val="1"/>
    </font>
    <font>
      <sz val="14"/>
      <name val="Times New Roman"/>
      <family val="1"/>
    </font>
    <font>
      <sz val="9"/>
      <name val="Times New Roman"/>
      <family val="1"/>
    </font>
    <font>
      <b/>
      <i/>
      <sz val="16"/>
      <name val="Helv"/>
    </font>
    <font>
      <sz val="10"/>
      <name val="Helv"/>
      <charset val="204"/>
    </font>
    <font>
      <b/>
      <sz val="11"/>
      <name val="Times New Roman"/>
      <family val="1"/>
    </font>
    <font>
      <sz val="11"/>
      <color theme="1"/>
      <name val="Calibri"/>
      <family val="2"/>
      <scheme val="minor"/>
    </font>
    <font>
      <u/>
      <sz val="11"/>
      <color theme="10"/>
      <name val="Calibri"/>
      <family val="2"/>
    </font>
    <font>
      <sz val="11"/>
      <color rgb="FF000000"/>
      <name val="Calibri"/>
      <family val="2"/>
    </font>
    <font>
      <b/>
      <sz val="11"/>
      <color theme="1"/>
      <name val="Calibri"/>
      <family val="2"/>
      <scheme val="minor"/>
    </font>
    <font>
      <sz val="12"/>
      <color rgb="FFFF0000"/>
      <name val="Helv"/>
    </font>
    <font>
      <b/>
      <sz val="12"/>
      <color theme="1"/>
      <name val="Times New Roman"/>
      <family val="1"/>
    </font>
    <font>
      <sz val="12"/>
      <color theme="1"/>
      <name val="Times New Roman"/>
      <family val="1"/>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2"/>
      <name val="Helv"/>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3"/>
      <name val="Cambria"/>
      <family val="1"/>
      <scheme val="major"/>
    </font>
    <font>
      <sz val="13"/>
      <name val="Cambria"/>
      <family val="1"/>
      <scheme val="major"/>
    </font>
    <font>
      <sz val="12"/>
      <name val="Cambria"/>
      <family val="1"/>
      <scheme val="major"/>
    </font>
    <font>
      <b/>
      <sz val="12"/>
      <name val="Verdana"/>
      <family val="2"/>
    </font>
    <font>
      <sz val="12"/>
      <name val="Verdana"/>
      <family val="2"/>
    </font>
    <font>
      <sz val="10.5"/>
      <name val="Verdana"/>
      <family val="2"/>
    </font>
    <font>
      <sz val="10.5"/>
      <color rgb="FFFF0000"/>
      <name val="Verdana"/>
      <family val="2"/>
    </font>
    <font>
      <b/>
      <sz val="10.5"/>
      <name val="Verdana"/>
      <family val="2"/>
    </font>
    <font>
      <sz val="14"/>
      <color rgb="FFFF0000"/>
      <name val="Times New Roman"/>
      <family val="1"/>
    </font>
    <font>
      <sz val="18"/>
      <color rgb="FFFF0000"/>
      <name val="Times New Roman"/>
      <family val="1"/>
    </font>
    <font>
      <b/>
      <sz val="10.5"/>
      <color rgb="FFFF0000"/>
      <name val="Verdana"/>
      <family val="2"/>
    </font>
    <font>
      <sz val="11"/>
      <name val="Book Antiqua"/>
      <family val="1"/>
    </font>
    <font>
      <sz val="15"/>
      <name val="Times New Roman"/>
      <family val="1"/>
    </font>
    <font>
      <sz val="11"/>
      <color rgb="FFFF0000"/>
      <name val="Book Antiqua"/>
      <family val="1"/>
    </font>
    <font>
      <sz val="22"/>
      <name val="Times New Roman"/>
      <family val="1"/>
    </font>
    <font>
      <b/>
      <sz val="11"/>
      <name val="Book Antiqua"/>
      <family val="1"/>
    </font>
    <font>
      <b/>
      <u/>
      <sz val="10.5"/>
      <name val="Verdana"/>
      <family val="2"/>
    </font>
    <font>
      <b/>
      <sz val="10"/>
      <name val="Verdana"/>
      <family val="2"/>
    </font>
    <font>
      <b/>
      <sz val="22"/>
      <name val="Times New Roman"/>
      <family val="1"/>
    </font>
    <font>
      <b/>
      <sz val="11"/>
      <name val="Verdana"/>
      <family val="2"/>
    </font>
    <font>
      <b/>
      <sz val="11.5"/>
      <name val="Verdana"/>
      <family val="2"/>
    </font>
    <font>
      <b/>
      <sz val="15"/>
      <color indexed="56"/>
      <name val="Calibri"/>
      <family val="2"/>
    </font>
    <font>
      <b/>
      <sz val="13"/>
      <color indexed="56"/>
      <name val="Calibri"/>
      <family val="2"/>
    </font>
    <font>
      <b/>
      <sz val="11"/>
      <color indexed="56"/>
      <name val="Calibri"/>
      <family val="2"/>
    </font>
    <font>
      <b/>
      <sz val="18"/>
      <color indexed="56"/>
      <name val="Cambria"/>
      <family val="1"/>
    </font>
    <font>
      <b/>
      <sz val="12"/>
      <color theme="1"/>
      <name val="Cambria"/>
      <family val="1"/>
      <scheme val="major"/>
    </font>
    <font>
      <sz val="12"/>
      <color theme="1"/>
      <name val="Cambria"/>
      <family val="1"/>
      <scheme val="major"/>
    </font>
    <font>
      <vertAlign val="superscript"/>
      <sz val="10.5"/>
      <name val="Verdana"/>
      <family val="2"/>
    </font>
    <font>
      <b/>
      <sz val="11"/>
      <color theme="1"/>
      <name val="Cambria"/>
      <family val="1"/>
      <scheme val="major"/>
    </font>
    <font>
      <sz val="11"/>
      <color theme="1"/>
      <name val="Cambria"/>
      <family val="1"/>
      <scheme val="major"/>
    </font>
    <font>
      <b/>
      <sz val="14"/>
      <color theme="1"/>
      <name val="Cambria"/>
      <family val="1"/>
      <scheme val="major"/>
    </font>
    <font>
      <sz val="10"/>
      <name val="Times New Roman"/>
      <family val="1"/>
    </font>
    <font>
      <sz val="11"/>
      <color theme="1"/>
      <name val="Times New Roman"/>
      <family val="1"/>
    </font>
    <font>
      <b/>
      <sz val="11"/>
      <color theme="1"/>
      <name val="Times New Roman"/>
      <family val="1"/>
    </font>
    <font>
      <u/>
      <sz val="12"/>
      <name val="Times New Roman"/>
      <family val="1"/>
    </font>
    <font>
      <u/>
      <sz val="11"/>
      <color theme="1"/>
      <name val="Cambria"/>
      <family val="1"/>
      <scheme val="major"/>
    </font>
    <font>
      <b/>
      <u/>
      <sz val="12"/>
      <name val="Cambria"/>
      <family val="1"/>
      <scheme val="major"/>
    </font>
    <font>
      <b/>
      <sz val="12"/>
      <name val="Cambria"/>
      <family val="1"/>
      <scheme val="major"/>
    </font>
    <font>
      <sz val="12"/>
      <color rgb="FFFF0000"/>
      <name val="Cambria"/>
      <family val="1"/>
      <scheme val="major"/>
    </font>
    <font>
      <b/>
      <sz val="12"/>
      <color rgb="FFFF0000"/>
      <name val="Cambria"/>
      <family val="1"/>
      <scheme val="major"/>
    </font>
    <font>
      <b/>
      <u/>
      <sz val="12"/>
      <color rgb="FFFF0000"/>
      <name val="Cambria"/>
      <family val="1"/>
      <scheme val="major"/>
    </font>
    <font>
      <b/>
      <sz val="13"/>
      <color theme="1"/>
      <name val="Cambria"/>
      <family val="1"/>
      <scheme val="major"/>
    </font>
    <font>
      <sz val="11"/>
      <color indexed="8"/>
      <name val="Calibri"/>
      <family val="2"/>
      <charset val="1"/>
    </font>
    <font>
      <sz val="11"/>
      <name val="Cambria"/>
      <family val="1"/>
      <scheme val="major"/>
    </font>
  </fonts>
  <fills count="44">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53"/>
        <bgColor indexed="64"/>
      </patternFill>
    </fill>
    <fill>
      <patternFill patternType="solid">
        <fgColor indexed="46"/>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FF66"/>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double">
        <color indexed="64"/>
      </top>
      <bottom/>
      <diagonal/>
    </border>
    <border>
      <left/>
      <right/>
      <top/>
      <bottom style="double">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bottom/>
      <diagonal/>
    </border>
    <border>
      <left style="thin">
        <color indexed="64"/>
      </left>
      <right style="thin">
        <color indexed="64"/>
      </right>
      <top/>
      <bottom/>
      <diagonal/>
    </border>
    <border>
      <left style="double">
        <color indexed="64"/>
      </left>
      <right style="thin">
        <color indexed="64"/>
      </right>
      <top style="thin">
        <color indexed="64"/>
      </top>
      <bottom style="thin">
        <color indexed="64"/>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style="double">
        <color indexed="64"/>
      </left>
      <right style="thin">
        <color indexed="64"/>
      </right>
      <top style="double">
        <color indexed="64"/>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thin">
        <color indexed="64"/>
      </bottom>
      <diagonal/>
    </border>
    <border>
      <left/>
      <right style="double">
        <color indexed="64"/>
      </right>
      <top style="double">
        <color indexed="64"/>
      </top>
      <bottom/>
      <diagonal/>
    </border>
    <border>
      <left style="double">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double">
        <color indexed="64"/>
      </bottom>
      <diagonal/>
    </border>
    <border>
      <left/>
      <right style="double">
        <color indexed="64"/>
      </right>
      <top/>
      <bottom style="double">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style="hair">
        <color indexed="64"/>
      </top>
      <bottom style="hair">
        <color indexed="64"/>
      </bottom>
      <diagonal/>
    </border>
  </borders>
  <cellStyleXfs count="1248">
    <xf numFmtId="170" fontId="0" fillId="0" borderId="0"/>
    <xf numFmtId="164" fontId="13" fillId="0" borderId="0" applyFont="0" applyFill="0" applyBorder="0" applyAlignment="0" applyProtection="0"/>
    <xf numFmtId="167" fontId="11" fillId="0" borderId="0" applyFont="0" applyFill="0" applyBorder="0" applyAlignment="0" applyProtection="0"/>
    <xf numFmtId="169" fontId="18" fillId="0" borderId="0" applyFont="0" applyFill="0" applyBorder="0" applyAlignment="0" applyProtection="0"/>
    <xf numFmtId="38" fontId="10" fillId="2" borderId="0" applyNumberFormat="0" applyBorder="0" applyAlignment="0" applyProtection="0"/>
    <xf numFmtId="0" fontId="23" fillId="0" borderId="0" applyNumberFormat="0" applyFill="0" applyBorder="0" applyAlignment="0" applyProtection="0">
      <alignment vertical="top"/>
      <protection locked="0"/>
    </xf>
    <xf numFmtId="10" fontId="10" fillId="3" borderId="1" applyNumberFormat="0" applyBorder="0" applyAlignment="0" applyProtection="0"/>
    <xf numFmtId="170" fontId="19" fillId="0" borderId="0"/>
    <xf numFmtId="165" fontId="9" fillId="0" borderId="0"/>
    <xf numFmtId="0" fontId="11" fillId="0" borderId="0"/>
    <xf numFmtId="168" fontId="9" fillId="0" borderId="0"/>
    <xf numFmtId="0" fontId="11" fillId="0" borderId="0"/>
    <xf numFmtId="0" fontId="22" fillId="0" borderId="0"/>
    <xf numFmtId="0" fontId="11" fillId="0" borderId="0"/>
    <xf numFmtId="0" fontId="11" fillId="0" borderId="0"/>
    <xf numFmtId="0" fontId="11" fillId="0" borderId="0"/>
    <xf numFmtId="0" fontId="22" fillId="0" borderId="0"/>
    <xf numFmtId="0" fontId="11" fillId="0" borderId="0"/>
    <xf numFmtId="0" fontId="16" fillId="0" borderId="0"/>
    <xf numFmtId="168" fontId="9" fillId="0" borderId="0"/>
    <xf numFmtId="5" fontId="9" fillId="0" borderId="0"/>
    <xf numFmtId="0" fontId="11" fillId="0" borderId="0"/>
    <xf numFmtId="170" fontId="9" fillId="0" borderId="0"/>
    <xf numFmtId="170" fontId="9" fillId="0" borderId="0"/>
    <xf numFmtId="0" fontId="22" fillId="0" borderId="0"/>
    <xf numFmtId="0" fontId="11" fillId="0" borderId="0"/>
    <xf numFmtId="0" fontId="11" fillId="0" borderId="0"/>
    <xf numFmtId="0" fontId="22" fillId="0" borderId="0"/>
    <xf numFmtId="44" fontId="9" fillId="0" borderId="0"/>
    <xf numFmtId="44" fontId="9" fillId="0" borderId="0"/>
    <xf numFmtId="44" fontId="9" fillId="0" borderId="0"/>
    <xf numFmtId="181" fontId="9" fillId="0" borderId="0"/>
    <xf numFmtId="0" fontId="22" fillId="0" borderId="0"/>
    <xf numFmtId="0" fontId="24" fillId="0" borderId="0"/>
    <xf numFmtId="0" fontId="11" fillId="0" borderId="0"/>
    <xf numFmtId="0" fontId="18" fillId="0" borderId="0"/>
    <xf numFmtId="0" fontId="18" fillId="0" borderId="0"/>
    <xf numFmtId="0" fontId="8" fillId="0" borderId="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20" fillId="0" borderId="0"/>
    <xf numFmtId="40" fontId="21" fillId="0" borderId="0"/>
    <xf numFmtId="0" fontId="7" fillId="0" borderId="0"/>
    <xf numFmtId="0" fontId="8" fillId="0" borderId="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3" borderId="0" applyNumberFormat="0" applyBorder="0" applyAlignment="0" applyProtection="0"/>
    <xf numFmtId="0" fontId="13" fillId="16" borderId="0" applyNumberFormat="0" applyBorder="0" applyAlignment="0" applyProtection="0"/>
    <xf numFmtId="0" fontId="13" fillId="10"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3" borderId="0" applyNumberFormat="0" applyBorder="0" applyAlignment="0" applyProtection="0"/>
    <xf numFmtId="0" fontId="29" fillId="17" borderId="0" applyNumberFormat="0" applyBorder="0" applyAlignment="0" applyProtection="0"/>
    <xf numFmtId="0" fontId="29" fillId="10"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17" borderId="0" applyNumberFormat="0" applyBorder="0" applyAlignment="0" applyProtection="0"/>
    <xf numFmtId="0" fontId="29" fillId="21" borderId="0" applyNumberFormat="0" applyBorder="0" applyAlignment="0" applyProtection="0"/>
    <xf numFmtId="0" fontId="30" fillId="22" borderId="0" applyNumberFormat="0" applyBorder="0" applyAlignment="0" applyProtection="0"/>
    <xf numFmtId="0" fontId="31" fillId="9" borderId="9" applyNumberFormat="0" applyAlignment="0" applyProtection="0"/>
    <xf numFmtId="0" fontId="32" fillId="23" borderId="10" applyNumberFormat="0" applyAlignment="0" applyProtection="0"/>
    <xf numFmtId="174" fontId="8" fillId="0" borderId="0" applyFont="0" applyFill="0" applyBorder="0" applyAlignment="0" applyProtection="0"/>
    <xf numFmtId="167" fontId="8" fillId="0" borderId="0" applyFont="0" applyFill="0" applyBorder="0" applyAlignment="0" applyProtection="0"/>
    <xf numFmtId="166" fontId="8" fillId="0" borderId="0" applyFont="0" applyFill="0" applyBorder="0" applyAlignment="0" applyProtection="0"/>
    <xf numFmtId="0" fontId="33" fillId="0" borderId="0" applyNumberFormat="0" applyFill="0" applyBorder="0" applyAlignment="0" applyProtection="0"/>
    <xf numFmtId="0" fontId="34" fillId="24" borderId="0" applyNumberFormat="0" applyBorder="0" applyAlignment="0" applyProtection="0"/>
    <xf numFmtId="0" fontId="35" fillId="0" borderId="11" applyNumberFormat="0" applyFill="0" applyAlignment="0" applyProtection="0"/>
    <xf numFmtId="0" fontId="36" fillId="0" borderId="12" applyNumberFormat="0" applyFill="0" applyAlignment="0" applyProtection="0"/>
    <xf numFmtId="0" fontId="37" fillId="0" borderId="13" applyNumberFormat="0" applyFill="0" applyAlignment="0" applyProtection="0"/>
    <xf numFmtId="0" fontId="37" fillId="0" borderId="0" applyNumberFormat="0" applyFill="0" applyBorder="0" applyAlignment="0" applyProtection="0"/>
    <xf numFmtId="0" fontId="38" fillId="0" borderId="0" applyNumberFormat="0" applyFill="0" applyBorder="0" applyAlignment="0" applyProtection="0">
      <alignment vertical="top"/>
      <protection locked="0"/>
    </xf>
    <xf numFmtId="0" fontId="39" fillId="10" borderId="9" applyNumberFormat="0" applyAlignment="0" applyProtection="0"/>
    <xf numFmtId="2" fontId="14" fillId="0" borderId="5" applyNumberFormat="0" applyBorder="0" applyProtection="0">
      <alignment horizontal="center" vertical="center"/>
    </xf>
    <xf numFmtId="0" fontId="40" fillId="0" borderId="14" applyNumberFormat="0" applyFill="0" applyAlignment="0" applyProtection="0"/>
    <xf numFmtId="0" fontId="41" fillId="15" borderId="0" applyNumberFormat="0" applyBorder="0" applyAlignment="0" applyProtection="0"/>
    <xf numFmtId="0" fontId="8" fillId="0" borderId="0"/>
    <xf numFmtId="0" fontId="6" fillId="0" borderId="0"/>
    <xf numFmtId="0" fontId="9" fillId="0" borderId="0"/>
    <xf numFmtId="168" fontId="9" fillId="0" borderId="0"/>
    <xf numFmtId="0" fontId="8" fillId="0" borderId="0"/>
    <xf numFmtId="168" fontId="9" fillId="0" borderId="0"/>
    <xf numFmtId="0" fontId="8" fillId="0" borderId="0"/>
    <xf numFmtId="0" fontId="8" fillId="0" borderId="0"/>
    <xf numFmtId="170" fontId="9" fillId="0" borderId="0"/>
    <xf numFmtId="0" fontId="8" fillId="0" borderId="0"/>
    <xf numFmtId="17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170" fontId="9" fillId="0" borderId="0"/>
    <xf numFmtId="170" fontId="42" fillId="0" borderId="0"/>
    <xf numFmtId="0" fontId="8" fillId="0" borderId="0"/>
    <xf numFmtId="0" fontId="8" fillId="11" borderId="15" applyNumberFormat="0" applyFont="0" applyAlignment="0" applyProtection="0"/>
    <xf numFmtId="0" fontId="43" fillId="9" borderId="16" applyNumberFormat="0" applyAlignment="0" applyProtection="0"/>
    <xf numFmtId="0" fontId="44" fillId="0" borderId="0" applyNumberFormat="0" applyFill="0" applyBorder="0" applyAlignment="0" applyProtection="0"/>
    <xf numFmtId="0" fontId="45" fillId="0" borderId="17" applyNumberFormat="0" applyFill="0" applyAlignment="0" applyProtection="0"/>
    <xf numFmtId="0" fontId="46" fillId="0" borderId="0" applyNumberFormat="0" applyFill="0" applyBorder="0" applyAlignment="0" applyProtection="0"/>
    <xf numFmtId="178" fontId="9" fillId="0" borderId="0"/>
    <xf numFmtId="0" fontId="9" fillId="0" borderId="0"/>
    <xf numFmtId="0" fontId="5" fillId="0" borderId="0"/>
    <xf numFmtId="0" fontId="8" fillId="0" borderId="0"/>
    <xf numFmtId="0" fontId="5" fillId="0" borderId="0"/>
    <xf numFmtId="170" fontId="9" fillId="0" borderId="0"/>
    <xf numFmtId="0" fontId="5" fillId="0" borderId="0"/>
    <xf numFmtId="0" fontId="16" fillId="0" borderId="0">
      <alignment vertical="center"/>
    </xf>
    <xf numFmtId="167" fontId="9" fillId="0" borderId="0"/>
    <xf numFmtId="0" fontId="5" fillId="0" borderId="0"/>
    <xf numFmtId="168" fontId="9" fillId="0" borderId="0"/>
    <xf numFmtId="0" fontId="8" fillId="0" borderId="0"/>
    <xf numFmtId="178" fontId="9" fillId="0" borderId="0"/>
    <xf numFmtId="0" fontId="4" fillId="0" borderId="0"/>
    <xf numFmtId="0" fontId="4" fillId="0" borderId="0"/>
    <xf numFmtId="0" fontId="8" fillId="0" borderId="0"/>
    <xf numFmtId="0" fontId="8" fillId="0" borderId="0"/>
    <xf numFmtId="0" fontId="9" fillId="0" borderId="0"/>
    <xf numFmtId="0" fontId="8" fillId="0" borderId="0"/>
    <xf numFmtId="166" fontId="9" fillId="0" borderId="0"/>
    <xf numFmtId="0" fontId="3" fillId="0" borderId="0"/>
    <xf numFmtId="170" fontId="9" fillId="0" borderId="0"/>
    <xf numFmtId="0" fontId="8" fillId="0" borderId="0"/>
    <xf numFmtId="0" fontId="16" fillId="0" borderId="0"/>
    <xf numFmtId="170" fontId="9" fillId="0" borderId="0"/>
    <xf numFmtId="0" fontId="8" fillId="0" borderId="0"/>
    <xf numFmtId="168" fontId="9" fillId="0" borderId="0"/>
    <xf numFmtId="0" fontId="8" fillId="0" borderId="0"/>
    <xf numFmtId="167" fontId="9" fillId="0" borderId="0" applyFont="0" applyFill="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1" fillId="2" borderId="9"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0" fontId="32" fillId="41" borderId="10" applyNumberFormat="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8" fillId="0" borderId="24"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69" fillId="0" borderId="12"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25" applyNumberForma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38" fillId="0" borderId="0" applyNumberFormat="0" applyFill="0" applyBorder="0" applyAlignment="0" applyProtection="0">
      <alignment vertical="top"/>
      <protection locked="0"/>
    </xf>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39" fillId="29" borderId="9" applyNumberFormat="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170" fontId="9" fillId="0" borderId="0"/>
    <xf numFmtId="0" fontId="8" fillId="0" borderId="0"/>
    <xf numFmtId="0" fontId="8" fillId="0" borderId="0"/>
    <xf numFmtId="0" fontId="2" fillId="0" borderId="0"/>
    <xf numFmtId="170" fontId="9" fillId="0" borderId="0"/>
    <xf numFmtId="170" fontId="9" fillId="0" borderId="0"/>
    <xf numFmtId="0" fontId="2" fillId="0" borderId="0"/>
    <xf numFmtId="0" fontId="8" fillId="0" borderId="0"/>
    <xf numFmtId="0" fontId="16" fillId="0" borderId="0"/>
    <xf numFmtId="168" fontId="9" fillId="0" borderId="0"/>
    <xf numFmtId="168" fontId="9" fillId="0" borderId="0"/>
    <xf numFmtId="170" fontId="9" fillId="0" borderId="0"/>
    <xf numFmtId="0" fontId="2" fillId="0" borderId="0"/>
    <xf numFmtId="0" fontId="8" fillId="0" borderId="0"/>
    <xf numFmtId="169" fontId="9" fillId="0" borderId="0"/>
    <xf numFmtId="0" fontId="8" fillId="0" borderId="0"/>
    <xf numFmtId="0" fontId="16" fillId="0" borderId="0"/>
    <xf numFmtId="0" fontId="8" fillId="0" borderId="0"/>
    <xf numFmtId="0" fontId="8" fillId="0" borderId="0"/>
    <xf numFmtId="170" fontId="9" fillId="0" borderId="0"/>
    <xf numFmtId="170" fontId="9" fillId="0" borderId="0"/>
    <xf numFmtId="0" fontId="9" fillId="0" borderId="0"/>
    <xf numFmtId="44" fontId="9" fillId="0" borderId="0"/>
    <xf numFmtId="44" fontId="9" fillId="0" borderId="0"/>
    <xf numFmtId="44" fontId="9" fillId="0" borderId="0"/>
    <xf numFmtId="181" fontId="9" fillId="0" borderId="0"/>
    <xf numFmtId="44" fontId="9" fillId="0" borderId="0"/>
    <xf numFmtId="0" fontId="16" fillId="0" borderId="0"/>
    <xf numFmtId="170" fontId="9" fillId="0" borderId="0"/>
    <xf numFmtId="170" fontId="9" fillId="0" borderId="0"/>
    <xf numFmtId="170" fontId="9" fillId="0" borderId="0"/>
    <xf numFmtId="170" fontId="9" fillId="0" borderId="0"/>
    <xf numFmtId="0" fontId="2" fillId="0" borderId="0"/>
    <xf numFmtId="0" fontId="24" fillId="0" borderId="0"/>
    <xf numFmtId="0" fontId="8" fillId="0" borderId="0"/>
    <xf numFmtId="0" fontId="18" fillId="0" borderId="0"/>
    <xf numFmtId="182" fontId="9" fillId="0" borderId="0"/>
    <xf numFmtId="0" fontId="18" fillId="0" borderId="0"/>
    <xf numFmtId="0" fontId="9" fillId="3" borderId="15" applyNumberFormat="0" applyFont="0" applyAlignment="0" applyProtection="0"/>
    <xf numFmtId="0" fontId="9" fillId="3" borderId="15" applyNumberFormat="0" applyFont="0" applyAlignment="0" applyProtection="0"/>
    <xf numFmtId="0" fontId="9" fillId="3" borderId="15" applyNumberFormat="0" applyFont="0" applyAlignment="0" applyProtection="0"/>
    <xf numFmtId="0" fontId="9" fillId="3" borderId="15" applyNumberFormat="0" applyFont="0" applyAlignment="0" applyProtection="0"/>
    <xf numFmtId="0" fontId="9" fillId="3" borderId="15" applyNumberFormat="0" applyFont="0" applyAlignment="0" applyProtection="0"/>
    <xf numFmtId="0" fontId="9" fillId="3" borderId="15" applyNumberFormat="0" applyFont="0" applyAlignment="0" applyProtection="0"/>
    <xf numFmtId="0" fontId="9" fillId="3" borderId="15" applyNumberFormat="0" applyFont="0" applyAlignment="0" applyProtection="0"/>
    <xf numFmtId="0" fontId="9" fillId="3" borderId="15" applyNumberFormat="0" applyFont="0" applyAlignment="0" applyProtection="0"/>
    <xf numFmtId="0" fontId="9" fillId="3" borderId="15" applyNumberFormat="0" applyFon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0" fontId="43" fillId="2" borderId="16" applyNumberFormat="0" applyAlignment="0" applyProtection="0"/>
    <xf numFmtId="9" fontId="13" fillId="0" borderId="0" applyFont="0" applyFill="0" applyBorder="0" applyAlignment="0" applyProtection="0"/>
    <xf numFmtId="9" fontId="1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5" fillId="0" borderId="26"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 fillId="0" borderId="0"/>
    <xf numFmtId="0" fontId="1" fillId="0" borderId="0"/>
    <xf numFmtId="0" fontId="9" fillId="0" borderId="0"/>
    <xf numFmtId="0" fontId="1" fillId="0" borderId="0"/>
    <xf numFmtId="0" fontId="8" fillId="0" borderId="0"/>
    <xf numFmtId="0" fontId="89" fillId="0" borderId="0"/>
  </cellStyleXfs>
  <cellXfs count="656">
    <xf numFmtId="170" fontId="0" fillId="0" borderId="0" xfId="0"/>
    <xf numFmtId="170" fontId="9" fillId="0" borderId="0" xfId="0" applyFont="1" applyAlignment="1"/>
    <xf numFmtId="170" fontId="9" fillId="0" borderId="0" xfId="0" applyFont="1"/>
    <xf numFmtId="170" fontId="0" fillId="0" borderId="0" xfId="0" applyBorder="1"/>
    <xf numFmtId="170" fontId="26" fillId="0" borderId="0" xfId="0" applyFont="1"/>
    <xf numFmtId="170" fontId="0" fillId="0" borderId="0" xfId="0" applyFont="1"/>
    <xf numFmtId="0" fontId="0" fillId="0" borderId="0" xfId="0" applyNumberFormat="1"/>
    <xf numFmtId="170" fontId="0" fillId="0" borderId="0" xfId="0" applyFont="1" applyBorder="1"/>
    <xf numFmtId="170" fontId="26" fillId="0" borderId="0" xfId="0" applyFont="1" applyFill="1"/>
    <xf numFmtId="170" fontId="9" fillId="0" borderId="0" xfId="0" applyFont="1" applyBorder="1"/>
    <xf numFmtId="170" fontId="50" fillId="0" borderId="0" xfId="139" applyFont="1" applyAlignment="1">
      <alignment horizontal="center" vertical="center"/>
    </xf>
    <xf numFmtId="170" fontId="51" fillId="0" borderId="0" xfId="139" applyFont="1"/>
    <xf numFmtId="0" fontId="52" fillId="0" borderId="0" xfId="140" applyFont="1" applyAlignment="1">
      <alignment vertical="center" wrapText="1"/>
    </xf>
    <xf numFmtId="0" fontId="52" fillId="0" borderId="0" xfId="140" applyFont="1" applyBorder="1" applyAlignment="1">
      <alignment vertical="center" wrapText="1"/>
    </xf>
    <xf numFmtId="0" fontId="52" fillId="6" borderId="0" xfId="140" applyFont="1" applyFill="1" applyBorder="1" applyAlignment="1">
      <alignment horizontal="center" vertical="center" wrapText="1"/>
    </xf>
    <xf numFmtId="0" fontId="52" fillId="0" borderId="0" xfId="141" applyFont="1" applyBorder="1" applyAlignment="1">
      <alignment horizontal="center" vertical="center" wrapText="1"/>
    </xf>
    <xf numFmtId="170" fontId="53" fillId="0" borderId="0" xfId="0" applyFont="1"/>
    <xf numFmtId="170" fontId="53" fillId="0" borderId="0" xfId="0" applyFont="1" applyBorder="1"/>
    <xf numFmtId="170" fontId="54" fillId="0" borderId="0" xfId="0" applyFont="1" applyBorder="1" applyAlignment="1">
      <alignment horizontal="center" vertical="center"/>
    </xf>
    <xf numFmtId="170" fontId="52" fillId="0" borderId="18" xfId="144" applyNumberFormat="1" applyFont="1" applyFill="1" applyBorder="1" applyAlignment="1">
      <alignment horizontal="center" vertical="center"/>
    </xf>
    <xf numFmtId="170" fontId="55" fillId="0" borderId="0" xfId="144" applyNumberFormat="1" applyFont="1" applyFill="1" applyBorder="1" applyAlignment="1">
      <alignment vertical="center"/>
    </xf>
    <xf numFmtId="170" fontId="54" fillId="0" borderId="0" xfId="144" applyNumberFormat="1" applyFont="1" applyFill="1" applyBorder="1" applyAlignment="1">
      <alignment horizontal="left" vertical="center"/>
    </xf>
    <xf numFmtId="171" fontId="52" fillId="0" borderId="18" xfId="144" applyNumberFormat="1" applyFont="1" applyFill="1" applyBorder="1" applyAlignment="1">
      <alignment horizontal="center" vertical="center"/>
    </xf>
    <xf numFmtId="1" fontId="52" fillId="0" borderId="18" xfId="145" applyNumberFormat="1" applyFont="1" applyFill="1" applyBorder="1" applyAlignment="1">
      <alignment horizontal="center" vertical="center" wrapText="1"/>
    </xf>
    <xf numFmtId="0" fontId="56" fillId="0" borderId="0" xfId="0" applyNumberFormat="1" applyFont="1" applyFill="1"/>
    <xf numFmtId="0" fontId="56" fillId="0" borderId="0" xfId="0" applyNumberFormat="1" applyFont="1" applyFill="1" applyBorder="1"/>
    <xf numFmtId="2" fontId="52" fillId="0" borderId="0" xfId="0" applyNumberFormat="1" applyFont="1" applyFill="1" applyBorder="1" applyAlignment="1">
      <alignment horizontal="center" vertical="center"/>
    </xf>
    <xf numFmtId="0" fontId="12" fillId="0" borderId="0" xfId="0" applyNumberFormat="1" applyFont="1" applyFill="1"/>
    <xf numFmtId="0" fontId="12" fillId="0" borderId="0" xfId="0" applyNumberFormat="1" applyFont="1" applyFill="1" applyBorder="1"/>
    <xf numFmtId="2" fontId="52" fillId="0" borderId="0" xfId="0" applyNumberFormat="1" applyFont="1" applyBorder="1" applyAlignment="1">
      <alignment horizontal="center" vertical="center"/>
    </xf>
    <xf numFmtId="0" fontId="56" fillId="0" borderId="0" xfId="0" applyNumberFormat="1" applyFont="1" applyAlignment="1">
      <alignment horizontal="center" vertical="center"/>
    </xf>
    <xf numFmtId="0" fontId="56" fillId="0" borderId="0" xfId="0" applyNumberFormat="1" applyFont="1" applyBorder="1" applyAlignment="1">
      <alignment horizontal="center" vertical="center"/>
    </xf>
    <xf numFmtId="170" fontId="57" fillId="0" borderId="0" xfId="0" applyFont="1" applyBorder="1" applyAlignment="1">
      <alignment horizontal="center" vertical="center"/>
    </xf>
    <xf numFmtId="170" fontId="52" fillId="0" borderId="0" xfId="0" applyFont="1"/>
    <xf numFmtId="170" fontId="52" fillId="0" borderId="0" xfId="0" applyFont="1" applyBorder="1"/>
    <xf numFmtId="170" fontId="52" fillId="0" borderId="0" xfId="0" applyFont="1" applyBorder="1" applyAlignment="1">
      <alignment horizontal="center" vertical="center"/>
    </xf>
    <xf numFmtId="170" fontId="54" fillId="0" borderId="0" xfId="0" applyFont="1" applyBorder="1" applyAlignment="1">
      <alignment vertical="center"/>
    </xf>
    <xf numFmtId="170" fontId="0" fillId="0" borderId="0" xfId="0" applyFont="1" applyFill="1" applyAlignment="1">
      <alignment vertical="center"/>
    </xf>
    <xf numFmtId="170" fontId="0" fillId="0" borderId="0" xfId="0" applyFont="1" applyFill="1" applyBorder="1" applyAlignment="1">
      <alignment vertical="center"/>
    </xf>
    <xf numFmtId="170" fontId="52" fillId="7" borderId="0" xfId="0" applyFont="1" applyFill="1" applyBorder="1" applyAlignment="1">
      <alignment horizontal="center" vertical="center"/>
    </xf>
    <xf numFmtId="170" fontId="9" fillId="0" borderId="0" xfId="0" applyFont="1" applyFill="1" applyAlignment="1">
      <alignment vertical="center"/>
    </xf>
    <xf numFmtId="170" fontId="9" fillId="0" borderId="0" xfId="0" applyFont="1" applyFill="1" applyBorder="1" applyAlignment="1">
      <alignment vertical="center"/>
    </xf>
    <xf numFmtId="170" fontId="54" fillId="7" borderId="0" xfId="0" applyFont="1" applyFill="1" applyBorder="1" applyAlignment="1">
      <alignment horizontal="center"/>
    </xf>
    <xf numFmtId="170" fontId="52" fillId="7" borderId="0" xfId="0" applyFont="1" applyFill="1" applyBorder="1" applyAlignment="1">
      <alignment horizontal="center"/>
    </xf>
    <xf numFmtId="170" fontId="54" fillId="7" borderId="0" xfId="0" applyFont="1" applyFill="1" applyBorder="1" applyAlignment="1">
      <alignment horizontal="center" vertical="center"/>
    </xf>
    <xf numFmtId="0" fontId="58" fillId="0" borderId="0" xfId="143" applyFont="1" applyFill="1" applyBorder="1" applyAlignment="1">
      <alignment vertical="center" wrapText="1"/>
    </xf>
    <xf numFmtId="0" fontId="52" fillId="7" borderId="0" xfId="143" applyFont="1" applyFill="1" applyBorder="1" applyAlignment="1">
      <alignment horizontal="center" vertical="center" wrapText="1"/>
    </xf>
    <xf numFmtId="0" fontId="54" fillId="7" borderId="0" xfId="143" applyFont="1" applyFill="1" applyBorder="1" applyAlignment="1">
      <alignment horizontal="center" vertical="center" wrapText="1"/>
    </xf>
    <xf numFmtId="2" fontId="54" fillId="7" borderId="0" xfId="143" applyNumberFormat="1" applyFont="1" applyFill="1" applyBorder="1" applyAlignment="1">
      <alignment horizontal="center" vertical="center" wrapText="1"/>
    </xf>
    <xf numFmtId="0" fontId="52" fillId="7" borderId="0" xfId="0" applyNumberFormat="1" applyFont="1" applyFill="1" applyAlignment="1">
      <alignment horizontal="center" vertical="center"/>
    </xf>
    <xf numFmtId="0" fontId="52" fillId="7" borderId="0" xfId="0" applyNumberFormat="1" applyFont="1" applyFill="1" applyBorder="1" applyAlignment="1">
      <alignment horizontal="center" vertical="center"/>
    </xf>
    <xf numFmtId="2" fontId="52" fillId="7" borderId="0" xfId="0" applyNumberFormat="1" applyFont="1" applyFill="1" applyBorder="1" applyAlignment="1">
      <alignment horizontal="center" vertical="center"/>
    </xf>
    <xf numFmtId="0" fontId="54" fillId="7" borderId="0" xfId="0" applyNumberFormat="1" applyFont="1" applyFill="1" applyBorder="1" applyAlignment="1">
      <alignment horizontal="center" vertical="center"/>
    </xf>
    <xf numFmtId="0" fontId="52" fillId="0" borderId="0" xfId="0" applyNumberFormat="1" applyFont="1" applyAlignment="1">
      <alignment horizontal="center" vertical="center"/>
    </xf>
    <xf numFmtId="0" fontId="52" fillId="0" borderId="0" xfId="0" applyNumberFormat="1" applyFont="1" applyBorder="1" applyAlignment="1">
      <alignment horizontal="center" vertical="center"/>
    </xf>
    <xf numFmtId="0" fontId="59" fillId="7" borderId="0" xfId="0" applyNumberFormat="1" applyFont="1" applyFill="1" applyAlignment="1">
      <alignment horizontal="center" vertical="center"/>
    </xf>
    <xf numFmtId="0" fontId="59" fillId="7" borderId="0" xfId="0" applyNumberFormat="1" applyFont="1" applyFill="1" applyBorder="1" applyAlignment="1">
      <alignment horizontal="center" vertical="center"/>
    </xf>
    <xf numFmtId="0" fontId="54" fillId="7" borderId="0" xfId="0" applyNumberFormat="1" applyFont="1" applyFill="1" applyBorder="1" applyAlignment="1">
      <alignment vertical="center"/>
    </xf>
    <xf numFmtId="0" fontId="60" fillId="0" borderId="0" xfId="143" applyFont="1" applyFill="1" applyBorder="1" applyAlignment="1">
      <alignment vertical="center" wrapText="1"/>
    </xf>
    <xf numFmtId="0" fontId="52" fillId="0" borderId="0" xfId="143" applyFont="1" applyFill="1" applyBorder="1" applyAlignment="1">
      <alignment vertical="center" wrapText="1"/>
    </xf>
    <xf numFmtId="170" fontId="26" fillId="0" borderId="0" xfId="0" applyFont="1" applyFill="1" applyBorder="1"/>
    <xf numFmtId="170" fontId="57" fillId="7" borderId="0" xfId="0" applyFont="1" applyFill="1" applyBorder="1" applyAlignment="1">
      <alignment horizontal="center"/>
    </xf>
    <xf numFmtId="0" fontId="52" fillId="0" borderId="0" xfId="0" applyNumberFormat="1" applyFont="1" applyFill="1" applyAlignment="1">
      <alignment vertical="center"/>
    </xf>
    <xf numFmtId="0" fontId="52" fillId="0" borderId="0" xfId="0" applyNumberFormat="1" applyFont="1" applyFill="1" applyBorder="1" applyAlignment="1">
      <alignment vertical="center"/>
    </xf>
    <xf numFmtId="0" fontId="52" fillId="0" borderId="0" xfId="0" applyNumberFormat="1" applyFont="1" applyAlignment="1">
      <alignment vertical="center"/>
    </xf>
    <xf numFmtId="0" fontId="52" fillId="0" borderId="0" xfId="0" applyNumberFormat="1" applyFont="1" applyBorder="1" applyAlignment="1">
      <alignment vertical="center"/>
    </xf>
    <xf numFmtId="0" fontId="52" fillId="0" borderId="0" xfId="0" applyNumberFormat="1" applyFont="1"/>
    <xf numFmtId="0" fontId="52" fillId="0" borderId="0" xfId="0" applyNumberFormat="1" applyFont="1" applyBorder="1"/>
    <xf numFmtId="0" fontId="53" fillId="0" borderId="0" xfId="0" applyNumberFormat="1" applyFont="1"/>
    <xf numFmtId="0" fontId="53" fillId="0" borderId="0" xfId="0" applyNumberFormat="1" applyFont="1" applyBorder="1"/>
    <xf numFmtId="2" fontId="52" fillId="0" borderId="0" xfId="0" applyNumberFormat="1" applyFont="1" applyBorder="1"/>
    <xf numFmtId="0" fontId="52" fillId="7" borderId="0" xfId="0" applyNumberFormat="1" applyFont="1" applyFill="1"/>
    <xf numFmtId="0" fontId="52" fillId="7" borderId="0" xfId="0" applyNumberFormat="1" applyFont="1" applyFill="1" applyBorder="1"/>
    <xf numFmtId="170" fontId="9" fillId="0" borderId="0" xfId="0" applyFont="1" applyFill="1"/>
    <xf numFmtId="170" fontId="9" fillId="0" borderId="0" xfId="0" applyFont="1" applyFill="1" applyBorder="1"/>
    <xf numFmtId="178" fontId="52" fillId="0" borderId="0" xfId="0" applyNumberFormat="1" applyFont="1" applyBorder="1" applyAlignment="1">
      <alignment vertical="center"/>
    </xf>
    <xf numFmtId="0" fontId="52" fillId="0" borderId="0" xfId="0" applyNumberFormat="1" applyFont="1" applyBorder="1" applyAlignment="1">
      <alignment vertical="center" wrapText="1"/>
    </xf>
    <xf numFmtId="0" fontId="52" fillId="7" borderId="0" xfId="0" applyNumberFormat="1" applyFont="1" applyFill="1" applyBorder="1" applyAlignment="1">
      <alignment vertical="center" wrapText="1"/>
    </xf>
    <xf numFmtId="0" fontId="52" fillId="0" borderId="0" xfId="0" applyNumberFormat="1" applyFont="1" applyFill="1"/>
    <xf numFmtId="0" fontId="52" fillId="0" borderId="0" xfId="0" applyNumberFormat="1" applyFont="1" applyFill="1" applyBorder="1"/>
    <xf numFmtId="2" fontId="52" fillId="0" borderId="0" xfId="0" applyNumberFormat="1" applyFont="1" applyBorder="1" applyAlignment="1">
      <alignment vertical="center"/>
    </xf>
    <xf numFmtId="0" fontId="52" fillId="0" borderId="0" xfId="0" applyNumberFormat="1" applyFont="1" applyBorder="1" applyAlignment="1">
      <alignment vertical="top"/>
    </xf>
    <xf numFmtId="2" fontId="52" fillId="0" borderId="0" xfId="0" applyNumberFormat="1" applyFont="1" applyBorder="1" applyAlignment="1">
      <alignment vertical="top"/>
    </xf>
    <xf numFmtId="179" fontId="52" fillId="0" borderId="0" xfId="0" applyNumberFormat="1" applyFont="1" applyBorder="1" applyAlignment="1">
      <alignment vertical="center"/>
    </xf>
    <xf numFmtId="0" fontId="54" fillId="0" borderId="0" xfId="0" applyNumberFormat="1" applyFont="1" applyFill="1" applyBorder="1" applyAlignment="1">
      <alignment vertical="center"/>
    </xf>
    <xf numFmtId="0" fontId="61" fillId="0" borderId="0" xfId="0" applyNumberFormat="1" applyFont="1" applyFill="1" applyAlignment="1">
      <alignment horizontal="center" vertical="center"/>
    </xf>
    <xf numFmtId="0" fontId="61" fillId="0" borderId="0" xfId="0" applyNumberFormat="1" applyFont="1" applyFill="1" applyBorder="1" applyAlignment="1">
      <alignment horizontal="center" vertical="center"/>
    </xf>
    <xf numFmtId="2" fontId="61" fillId="0" borderId="0" xfId="0" applyNumberFormat="1" applyFont="1" applyFill="1" applyBorder="1" applyAlignment="1">
      <alignment horizontal="center" vertical="center"/>
    </xf>
    <xf numFmtId="2" fontId="61" fillId="7" borderId="0" xfId="0" applyNumberFormat="1" applyFont="1" applyFill="1" applyBorder="1" applyAlignment="1">
      <alignment horizontal="center" vertical="center"/>
    </xf>
    <xf numFmtId="0" fontId="61" fillId="7" borderId="0" xfId="0" applyNumberFormat="1" applyFont="1" applyFill="1" applyAlignment="1">
      <alignment horizontal="center" vertical="center"/>
    </xf>
    <xf numFmtId="0" fontId="61" fillId="7" borderId="0" xfId="0" applyNumberFormat="1" applyFont="1" applyFill="1" applyBorder="1" applyAlignment="1">
      <alignment horizontal="center" vertical="center"/>
    </xf>
    <xf numFmtId="0" fontId="58" fillId="0" borderId="0" xfId="143" applyFont="1" applyBorder="1" applyAlignment="1">
      <alignment vertical="center" wrapText="1"/>
    </xf>
    <xf numFmtId="0" fontId="52" fillId="0" borderId="0" xfId="0" applyNumberFormat="1" applyFont="1" applyAlignment="1">
      <alignment vertical="center" wrapText="1"/>
    </xf>
    <xf numFmtId="2" fontId="52" fillId="0" borderId="0" xfId="0" applyNumberFormat="1" applyFont="1" applyBorder="1" applyAlignment="1">
      <alignment vertical="center" wrapText="1"/>
    </xf>
    <xf numFmtId="0" fontId="52" fillId="0" borderId="0" xfId="0" applyNumberFormat="1" applyFont="1" applyBorder="1" applyAlignment="1">
      <alignment horizontal="center" vertical="center" wrapText="1"/>
    </xf>
    <xf numFmtId="0" fontId="54" fillId="0" borderId="0" xfId="0" applyNumberFormat="1" applyFont="1" applyBorder="1" applyAlignment="1">
      <alignment vertical="center"/>
    </xf>
    <xf numFmtId="0" fontId="54" fillId="0" borderId="0" xfId="0" applyNumberFormat="1" applyFont="1" applyBorder="1" applyAlignment="1">
      <alignment horizontal="center" vertical="center"/>
    </xf>
    <xf numFmtId="0" fontId="53" fillId="0" borderId="0" xfId="0" applyNumberFormat="1" applyFont="1" applyBorder="1" applyAlignment="1">
      <alignment vertical="center"/>
    </xf>
    <xf numFmtId="177" fontId="52" fillId="0" borderId="0" xfId="0" applyNumberFormat="1" applyFont="1" applyBorder="1" applyAlignment="1">
      <alignment vertical="center"/>
    </xf>
    <xf numFmtId="170" fontId="52" fillId="0" borderId="0" xfId="0" applyFont="1" applyAlignment="1">
      <alignment vertical="center"/>
    </xf>
    <xf numFmtId="170" fontId="52" fillId="0" borderId="0" xfId="0" applyFont="1" applyBorder="1" applyAlignment="1">
      <alignment vertical="center"/>
    </xf>
    <xf numFmtId="0" fontId="62" fillId="0" borderId="0" xfId="143" applyFont="1" applyBorder="1" applyAlignment="1">
      <alignment vertical="center" wrapText="1"/>
    </xf>
    <xf numFmtId="170" fontId="0" fillId="0" borderId="0" xfId="0" applyFont="1" applyAlignment="1">
      <alignment vertical="center"/>
    </xf>
    <xf numFmtId="170" fontId="0" fillId="0" borderId="0" xfId="0" applyFont="1" applyBorder="1" applyAlignment="1">
      <alignment vertical="center"/>
    </xf>
    <xf numFmtId="0" fontId="53" fillId="7" borderId="0" xfId="143" applyFont="1" applyFill="1" applyBorder="1" applyAlignment="1">
      <alignment horizontal="center" vertical="center" wrapText="1"/>
    </xf>
    <xf numFmtId="2" fontId="52" fillId="0" borderId="0" xfId="0" applyNumberFormat="1" applyFont="1" applyFill="1" applyBorder="1" applyAlignment="1">
      <alignment horizontal="center" vertical="center" wrapText="1"/>
    </xf>
    <xf numFmtId="178" fontId="58" fillId="0" borderId="0" xfId="143" applyNumberFormat="1" applyFont="1" applyBorder="1" applyAlignment="1">
      <alignment vertical="center" wrapText="1"/>
    </xf>
    <xf numFmtId="0" fontId="52" fillId="0" borderId="0" xfId="0" applyNumberFormat="1" applyFont="1" applyFill="1" applyBorder="1" applyAlignment="1">
      <alignment horizontal="center" vertical="top"/>
    </xf>
    <xf numFmtId="0" fontId="52" fillId="0" borderId="0" xfId="0" applyNumberFormat="1" applyFont="1" applyFill="1" applyBorder="1" applyAlignment="1">
      <alignment vertical="top"/>
    </xf>
    <xf numFmtId="178" fontId="52" fillId="0" borderId="0" xfId="0" applyNumberFormat="1" applyFont="1" applyFill="1" applyBorder="1" applyAlignment="1">
      <alignment vertical="top"/>
    </xf>
    <xf numFmtId="2" fontId="52" fillId="0" borderId="0" xfId="0" applyNumberFormat="1" applyFont="1" applyFill="1" applyBorder="1" applyAlignment="1">
      <alignment vertical="top"/>
    </xf>
    <xf numFmtId="0" fontId="52" fillId="0" borderId="0" xfId="0" applyNumberFormat="1" applyFont="1" applyFill="1" applyBorder="1" applyAlignment="1">
      <alignment horizontal="center" vertical="center"/>
    </xf>
    <xf numFmtId="0" fontId="52" fillId="0" borderId="0" xfId="0" applyNumberFormat="1" applyFont="1" applyBorder="1" applyAlignment="1">
      <alignment horizontal="right" vertical="center"/>
    </xf>
    <xf numFmtId="170" fontId="57" fillId="7" borderId="0" xfId="0" applyFont="1" applyFill="1" applyBorder="1" applyAlignment="1">
      <alignment horizontal="center" vertical="center"/>
    </xf>
    <xf numFmtId="0" fontId="60" fillId="0" borderId="0" xfId="143" applyFont="1" applyBorder="1" applyAlignment="1">
      <alignment vertical="center" wrapText="1"/>
    </xf>
    <xf numFmtId="0" fontId="61" fillId="0" borderId="0" xfId="0" applyNumberFormat="1" applyFont="1" applyAlignment="1">
      <alignment horizontal="left" wrapText="1"/>
    </xf>
    <xf numFmtId="0" fontId="61" fillId="0" borderId="0" xfId="0" applyNumberFormat="1" applyFont="1" applyBorder="1" applyAlignment="1">
      <alignment horizontal="left" wrapText="1"/>
    </xf>
    <xf numFmtId="0" fontId="61" fillId="0" borderId="0" xfId="0" applyNumberFormat="1" applyFont="1" applyBorder="1" applyAlignment="1">
      <alignment horizontal="center" vertical="center" wrapText="1"/>
    </xf>
    <xf numFmtId="0" fontId="12" fillId="0" borderId="0" xfId="0" applyNumberFormat="1" applyFont="1" applyBorder="1"/>
    <xf numFmtId="0" fontId="52" fillId="0" borderId="0" xfId="0" applyNumberFormat="1" applyFont="1" applyBorder="1" applyAlignment="1">
      <alignment horizontal="left" wrapText="1"/>
    </xf>
    <xf numFmtId="0" fontId="61" fillId="0" borderId="0" xfId="0" applyNumberFormat="1" applyFont="1" applyAlignment="1">
      <alignment wrapText="1"/>
    </xf>
    <xf numFmtId="0" fontId="61" fillId="0" borderId="0" xfId="0" applyNumberFormat="1" applyFont="1" applyBorder="1" applyAlignment="1">
      <alignment wrapText="1"/>
    </xf>
    <xf numFmtId="0" fontId="52" fillId="0" borderId="0" xfId="0" applyNumberFormat="1" applyFont="1" applyBorder="1" applyAlignment="1">
      <alignment wrapText="1"/>
    </xf>
    <xf numFmtId="0" fontId="61" fillId="7" borderId="0" xfId="0" applyNumberFormat="1" applyFont="1" applyFill="1" applyAlignment="1">
      <alignment wrapText="1"/>
    </xf>
    <xf numFmtId="0" fontId="61" fillId="7" borderId="0" xfId="0" applyNumberFormat="1" applyFont="1" applyFill="1" applyBorder="1" applyAlignment="1">
      <alignment wrapText="1"/>
    </xf>
    <xf numFmtId="0" fontId="61" fillId="7" borderId="0" xfId="0" applyNumberFormat="1" applyFont="1" applyFill="1" applyBorder="1" applyAlignment="1">
      <alignment vertical="center" wrapText="1"/>
    </xf>
    <xf numFmtId="170" fontId="26" fillId="0" borderId="0" xfId="0" applyFont="1" applyBorder="1"/>
    <xf numFmtId="170" fontId="53" fillId="7" borderId="0" xfId="0" applyFont="1" applyFill="1" applyBorder="1" applyAlignment="1">
      <alignment horizontal="center"/>
    </xf>
    <xf numFmtId="170" fontId="0" fillId="0" borderId="0" xfId="0" applyFont="1" applyFill="1"/>
    <xf numFmtId="170" fontId="0" fillId="0" borderId="0" xfId="0" applyFont="1" applyFill="1" applyBorder="1"/>
    <xf numFmtId="170" fontId="52" fillId="7" borderId="0" xfId="0" quotePrefix="1" applyFont="1" applyFill="1" applyBorder="1" applyAlignment="1">
      <alignment horizontal="center"/>
    </xf>
    <xf numFmtId="178" fontId="52" fillId="0" borderId="0" xfId="0" applyNumberFormat="1" applyFont="1" applyBorder="1"/>
    <xf numFmtId="0" fontId="52" fillId="0" borderId="0" xfId="0" applyNumberFormat="1" applyFont="1" applyAlignment="1">
      <alignment horizontal="center" vertical="center" wrapText="1"/>
    </xf>
    <xf numFmtId="0" fontId="64" fillId="7" borderId="0" xfId="143" applyFont="1" applyFill="1" applyBorder="1" applyAlignment="1">
      <alignment horizontal="center" vertical="center" wrapText="1"/>
    </xf>
    <xf numFmtId="0" fontId="52" fillId="0" borderId="0" xfId="143" applyFont="1" applyBorder="1" applyAlignment="1">
      <alignment vertical="center" wrapText="1"/>
    </xf>
    <xf numFmtId="0" fontId="53" fillId="0" borderId="0" xfId="143" applyFont="1" applyBorder="1" applyAlignment="1">
      <alignment vertical="center" wrapText="1"/>
    </xf>
    <xf numFmtId="0" fontId="52" fillId="7" borderId="0" xfId="0" applyNumberFormat="1" applyFont="1" applyFill="1" applyBorder="1" applyAlignment="1">
      <alignment vertical="center"/>
    </xf>
    <xf numFmtId="0" fontId="52" fillId="7" borderId="0" xfId="0" applyNumberFormat="1" applyFont="1" applyFill="1" applyAlignment="1">
      <alignment vertical="center"/>
    </xf>
    <xf numFmtId="2" fontId="52" fillId="7" borderId="0" xfId="0" applyNumberFormat="1" applyFont="1" applyFill="1" applyBorder="1" applyAlignment="1">
      <alignment vertical="center"/>
    </xf>
    <xf numFmtId="2" fontId="52" fillId="7" borderId="0" xfId="0" applyNumberFormat="1" applyFont="1" applyFill="1" applyBorder="1"/>
    <xf numFmtId="0" fontId="53" fillId="7" borderId="0" xfId="0" applyNumberFormat="1" applyFont="1" applyFill="1"/>
    <xf numFmtId="0" fontId="53" fillId="7" borderId="0" xfId="0" applyNumberFormat="1" applyFont="1" applyFill="1" applyBorder="1"/>
    <xf numFmtId="0" fontId="53" fillId="0" borderId="0" xfId="0" applyNumberFormat="1" applyFont="1" applyAlignment="1">
      <alignment horizontal="center" vertical="center"/>
    </xf>
    <xf numFmtId="0" fontId="53" fillId="0" borderId="0" xfId="0" applyNumberFormat="1" applyFont="1" applyBorder="1" applyAlignment="1">
      <alignment horizontal="center" vertical="center"/>
    </xf>
    <xf numFmtId="178" fontId="52" fillId="7" borderId="0" xfId="0" applyNumberFormat="1" applyFont="1" applyFill="1" applyBorder="1"/>
    <xf numFmtId="171" fontId="52" fillId="0" borderId="0" xfId="0" applyNumberFormat="1" applyFont="1" applyFill="1" applyBorder="1" applyAlignment="1">
      <alignment vertical="top"/>
    </xf>
    <xf numFmtId="2" fontId="65" fillId="0" borderId="0" xfId="0" applyNumberFormat="1" applyFont="1" applyFill="1" applyBorder="1" applyAlignment="1">
      <alignment horizontal="center" vertical="center"/>
    </xf>
    <xf numFmtId="0" fontId="65" fillId="0" borderId="0" xfId="0" applyNumberFormat="1" applyFont="1" applyAlignment="1">
      <alignment horizontal="left" wrapText="1"/>
    </xf>
    <xf numFmtId="0" fontId="65" fillId="0" borderId="0" xfId="0" applyNumberFormat="1" applyFont="1" applyBorder="1" applyAlignment="1">
      <alignment horizontal="left" wrapText="1"/>
    </xf>
    <xf numFmtId="2" fontId="54" fillId="0" borderId="0" xfId="0" applyNumberFormat="1" applyFont="1" applyBorder="1" applyAlignment="1">
      <alignment horizontal="left" wrapText="1"/>
    </xf>
    <xf numFmtId="170" fontId="9" fillId="0" borderId="0" xfId="0" applyFont="1" applyBorder="1" applyAlignment="1"/>
    <xf numFmtId="0" fontId="65" fillId="0" borderId="0" xfId="0" applyNumberFormat="1" applyFont="1" applyFill="1" applyAlignment="1">
      <alignment horizontal="center" vertical="center"/>
    </xf>
    <xf numFmtId="0" fontId="65" fillId="0" borderId="0" xfId="0" applyNumberFormat="1" applyFont="1" applyFill="1" applyBorder="1" applyAlignment="1">
      <alignment horizontal="center" vertical="center"/>
    </xf>
    <xf numFmtId="1" fontId="61" fillId="0" borderId="0" xfId="0" applyNumberFormat="1" applyFont="1" applyFill="1" applyBorder="1" applyAlignment="1">
      <alignment horizontal="center" vertical="center"/>
    </xf>
    <xf numFmtId="171" fontId="52" fillId="7" borderId="0" xfId="0" applyNumberFormat="1" applyFont="1" applyFill="1" applyBorder="1" applyAlignment="1">
      <alignment horizontal="center"/>
    </xf>
    <xf numFmtId="170" fontId="9" fillId="0" borderId="0" xfId="0" applyNumberFormat="1" applyFont="1" applyFill="1" applyBorder="1"/>
    <xf numFmtId="171" fontId="54" fillId="7" borderId="0" xfId="0" applyNumberFormat="1" applyFont="1" applyFill="1" applyBorder="1" applyAlignment="1">
      <alignment horizontal="center"/>
    </xf>
    <xf numFmtId="172" fontId="66" fillId="7" borderId="0" xfId="143" applyNumberFormat="1" applyFont="1" applyFill="1" applyBorder="1" applyAlignment="1">
      <alignment horizontal="center" vertical="center" wrapText="1"/>
    </xf>
    <xf numFmtId="0" fontId="67" fillId="0" borderId="0" xfId="143" applyFont="1" applyFill="1" applyBorder="1" applyAlignment="1">
      <alignment horizontal="center" vertical="center" wrapText="1"/>
    </xf>
    <xf numFmtId="0" fontId="67" fillId="0" borderId="0" xfId="143" applyFont="1" applyFill="1" applyBorder="1" applyAlignment="1">
      <alignment horizontal="left" vertical="center" wrapText="1"/>
    </xf>
    <xf numFmtId="170" fontId="67" fillId="0" borderId="0" xfId="0" applyFont="1" applyAlignment="1">
      <alignment horizontal="center" vertical="center"/>
    </xf>
    <xf numFmtId="170" fontId="54" fillId="8" borderId="0" xfId="0" applyFont="1" applyFill="1" applyBorder="1" applyAlignment="1">
      <alignment horizontal="center" vertical="center"/>
    </xf>
    <xf numFmtId="170" fontId="52" fillId="8" borderId="0" xfId="0" applyFont="1" applyFill="1" applyBorder="1"/>
    <xf numFmtId="170" fontId="52" fillId="8" borderId="0" xfId="0" applyFont="1" applyFill="1"/>
    <xf numFmtId="0" fontId="72" fillId="0" borderId="18" xfId="0" applyNumberFormat="1" applyFont="1" applyBorder="1"/>
    <xf numFmtId="0" fontId="73" fillId="0" borderId="18" xfId="0" applyNumberFormat="1" applyFont="1" applyBorder="1"/>
    <xf numFmtId="0" fontId="73" fillId="0" borderId="18" xfId="0" applyNumberFormat="1" applyFont="1" applyBorder="1" applyAlignment="1">
      <alignment horizontal="center" vertical="center"/>
    </xf>
    <xf numFmtId="2" fontId="73" fillId="0" borderId="18" xfId="0" applyNumberFormat="1" applyFont="1" applyBorder="1" applyAlignment="1">
      <alignment horizontal="center" vertical="center"/>
    </xf>
    <xf numFmtId="171" fontId="52" fillId="0" borderId="0" xfId="0" applyNumberFormat="1" applyFont="1"/>
    <xf numFmtId="170" fontId="54" fillId="0" borderId="0" xfId="0" applyFont="1" applyAlignment="1">
      <alignment horizontal="right" vertical="center"/>
    </xf>
    <xf numFmtId="171" fontId="54" fillId="0" borderId="0" xfId="0" applyNumberFormat="1" applyFont="1" applyAlignment="1">
      <alignment vertical="center"/>
    </xf>
    <xf numFmtId="170" fontId="54" fillId="0" borderId="0" xfId="0" applyFont="1" applyAlignment="1">
      <alignment vertical="center"/>
    </xf>
    <xf numFmtId="0" fontId="1" fillId="0" borderId="0" xfId="1242"/>
    <xf numFmtId="0" fontId="76" fillId="0" borderId="18" xfId="1242" applyFont="1" applyBorder="1" applyAlignment="1">
      <alignment horizontal="center"/>
    </xf>
    <xf numFmtId="2" fontId="76" fillId="0" borderId="18" xfId="1242" applyNumberFormat="1" applyFont="1" applyBorder="1" applyAlignment="1">
      <alignment horizontal="center" vertical="center"/>
    </xf>
    <xf numFmtId="0" fontId="25" fillId="0" borderId="0" xfId="1242" applyFont="1"/>
    <xf numFmtId="0" fontId="75" fillId="0" borderId="18" xfId="1242" applyFont="1" applyBorder="1" applyAlignment="1">
      <alignment horizontal="center"/>
    </xf>
    <xf numFmtId="0" fontId="75" fillId="0" borderId="18" xfId="1242" applyFont="1" applyBorder="1"/>
    <xf numFmtId="0" fontId="75" fillId="0" borderId="18" xfId="1242" applyFont="1" applyBorder="1" applyAlignment="1">
      <alignment wrapText="1"/>
    </xf>
    <xf numFmtId="0" fontId="76" fillId="0" borderId="18" xfId="1242" applyFont="1" applyBorder="1"/>
    <xf numFmtId="0" fontId="76" fillId="0" borderId="18" xfId="1242" applyFont="1" applyBorder="1" applyAlignment="1">
      <alignment horizontal="center" vertical="center"/>
    </xf>
    <xf numFmtId="0" fontId="76" fillId="0" borderId="18" xfId="1242" applyFont="1" applyBorder="1" applyAlignment="1">
      <alignment horizontal="center" vertical="top"/>
    </xf>
    <xf numFmtId="2" fontId="76" fillId="0" borderId="18" xfId="1242" applyNumberFormat="1" applyFont="1" applyBorder="1" applyAlignment="1">
      <alignment horizontal="center"/>
    </xf>
    <xf numFmtId="2" fontId="75" fillId="0" borderId="18" xfId="1242" applyNumberFormat="1" applyFont="1" applyBorder="1" applyAlignment="1">
      <alignment horizontal="center"/>
    </xf>
    <xf numFmtId="177" fontId="16" fillId="0" borderId="2" xfId="37" applyNumberFormat="1" applyFont="1" applyBorder="1" applyAlignment="1">
      <alignment horizontal="right" vertical="top" wrapText="1"/>
    </xf>
    <xf numFmtId="2" fontId="16" fillId="0" borderId="2" xfId="37" applyNumberFormat="1" applyFont="1" applyBorder="1" applyAlignment="1">
      <alignment vertical="top" wrapText="1"/>
    </xf>
    <xf numFmtId="0" fontId="76" fillId="0" borderId="8" xfId="1242" applyFont="1" applyBorder="1" applyAlignment="1">
      <alignment horizontal="center"/>
    </xf>
    <xf numFmtId="0" fontId="25" fillId="0" borderId="18" xfId="1242" applyFont="1" applyBorder="1"/>
    <xf numFmtId="2" fontId="76" fillId="0" borderId="18" xfId="1242" applyNumberFormat="1" applyFont="1" applyBorder="1"/>
    <xf numFmtId="0" fontId="1" fillId="0" borderId="18" xfId="1242" applyBorder="1"/>
    <xf numFmtId="2" fontId="1" fillId="0" borderId="18" xfId="1242" applyNumberFormat="1" applyBorder="1"/>
    <xf numFmtId="0" fontId="76" fillId="0" borderId="18" xfId="0" applyNumberFormat="1" applyFont="1" applyBorder="1"/>
    <xf numFmtId="0" fontId="75" fillId="0" borderId="18" xfId="0" applyNumberFormat="1" applyFont="1" applyBorder="1"/>
    <xf numFmtId="0" fontId="75" fillId="0" borderId="18" xfId="0" applyNumberFormat="1" applyFont="1" applyBorder="1" applyAlignment="1">
      <alignment horizontal="center"/>
    </xf>
    <xf numFmtId="0" fontId="75" fillId="0" borderId="18" xfId="0" applyNumberFormat="1" applyFont="1" applyBorder="1" applyAlignment="1">
      <alignment wrapText="1"/>
    </xf>
    <xf numFmtId="0" fontId="76" fillId="0" borderId="18" xfId="0" applyNumberFormat="1" applyFont="1" applyBorder="1" applyAlignment="1">
      <alignment horizontal="center"/>
    </xf>
    <xf numFmtId="2" fontId="76" fillId="0" borderId="18" xfId="0" applyNumberFormat="1" applyFont="1" applyBorder="1" applyAlignment="1">
      <alignment horizontal="center"/>
    </xf>
    <xf numFmtId="0" fontId="76" fillId="0" borderId="18" xfId="0" applyNumberFormat="1" applyFont="1" applyBorder="1" applyAlignment="1">
      <alignment wrapText="1"/>
    </xf>
    <xf numFmtId="2" fontId="75" fillId="0" borderId="18" xfId="0" applyNumberFormat="1" applyFont="1" applyBorder="1" applyAlignment="1">
      <alignment horizontal="center"/>
    </xf>
    <xf numFmtId="0" fontId="49" fillId="0" borderId="0" xfId="0" applyNumberFormat="1" applyFont="1"/>
    <xf numFmtId="0" fontId="49" fillId="0" borderId="18" xfId="0" applyNumberFormat="1" applyFont="1" applyBorder="1"/>
    <xf numFmtId="0" fontId="49" fillId="0" borderId="18" xfId="0" applyNumberFormat="1" applyFont="1" applyBorder="1" applyAlignment="1">
      <alignment horizontal="center"/>
    </xf>
    <xf numFmtId="2" fontId="49" fillId="0" borderId="18" xfId="0" applyNumberFormat="1" applyFont="1" applyBorder="1" applyAlignment="1">
      <alignment horizontal="center"/>
    </xf>
    <xf numFmtId="170" fontId="49" fillId="0" borderId="0" xfId="0" applyFont="1"/>
    <xf numFmtId="170" fontId="17" fillId="0" borderId="0" xfId="144" applyNumberFormat="1" applyFont="1" applyFill="1" applyBorder="1" applyAlignment="1">
      <alignment vertical="center"/>
    </xf>
    <xf numFmtId="0" fontId="54" fillId="0" borderId="38" xfId="144" applyNumberFormat="1" applyFont="1" applyFill="1" applyBorder="1" applyAlignment="1">
      <alignment horizontal="center" vertical="center"/>
    </xf>
    <xf numFmtId="1" fontId="52" fillId="0" borderId="28" xfId="144" applyNumberFormat="1" applyFont="1" applyFill="1" applyBorder="1" applyAlignment="1">
      <alignment horizontal="center" vertical="center"/>
    </xf>
    <xf numFmtId="0" fontId="54" fillId="0" borderId="8" xfId="144" applyNumberFormat="1" applyFont="1" applyFill="1" applyBorder="1" applyAlignment="1">
      <alignment horizontal="center" vertical="center"/>
    </xf>
    <xf numFmtId="0" fontId="54" fillId="0" borderId="40" xfId="144" applyNumberFormat="1" applyFont="1" applyFill="1" applyBorder="1" applyAlignment="1">
      <alignment horizontal="center" vertical="center"/>
    </xf>
    <xf numFmtId="170" fontId="52" fillId="0" borderId="41" xfId="144" applyNumberFormat="1" applyFont="1" applyFill="1" applyBorder="1" applyAlignment="1">
      <alignment horizontal="center" vertical="center"/>
    </xf>
    <xf numFmtId="1" fontId="52" fillId="0" borderId="42" xfId="144" applyNumberFormat="1" applyFont="1" applyFill="1" applyBorder="1" applyAlignment="1">
      <alignment horizontal="center" vertical="center"/>
    </xf>
    <xf numFmtId="0" fontId="52" fillId="0" borderId="4" xfId="144" applyNumberFormat="1" applyFont="1" applyFill="1" applyBorder="1" applyAlignment="1">
      <alignment horizontal="justify" vertical="center" wrapText="1"/>
    </xf>
    <xf numFmtId="0" fontId="54" fillId="0" borderId="0" xfId="144" applyNumberFormat="1" applyFont="1" applyFill="1" applyBorder="1" applyAlignment="1">
      <alignment horizontal="justify" vertical="center" wrapText="1"/>
    </xf>
    <xf numFmtId="0" fontId="52" fillId="0" borderId="5" xfId="144" applyNumberFormat="1" applyFont="1" applyFill="1" applyBorder="1" applyAlignment="1">
      <alignment horizontal="justify" vertical="center" wrapText="1"/>
    </xf>
    <xf numFmtId="0" fontId="52" fillId="0" borderId="22" xfId="144" applyNumberFormat="1" applyFont="1" applyFill="1" applyBorder="1" applyAlignment="1">
      <alignment horizontal="center" vertical="center"/>
    </xf>
    <xf numFmtId="2" fontId="54" fillId="0" borderId="22" xfId="144" applyNumberFormat="1" applyFont="1" applyFill="1" applyBorder="1" applyAlignment="1">
      <alignment horizontal="center" vertical="center"/>
    </xf>
    <xf numFmtId="170" fontId="54" fillId="0" borderId="43" xfId="144" applyNumberFormat="1" applyFont="1" applyFill="1" applyBorder="1" applyAlignment="1">
      <alignment horizontal="center" vertical="center"/>
    </xf>
    <xf numFmtId="2" fontId="52" fillId="0" borderId="4" xfId="145" applyNumberFormat="1" applyFont="1" applyFill="1" applyBorder="1" applyAlignment="1">
      <alignment horizontal="justify" vertical="center" wrapText="1"/>
    </xf>
    <xf numFmtId="2" fontId="52" fillId="0" borderId="5" xfId="145" applyNumberFormat="1" applyFont="1" applyFill="1" applyBorder="1" applyAlignment="1">
      <alignment horizontal="justify" vertical="center" wrapText="1"/>
    </xf>
    <xf numFmtId="1" fontId="52" fillId="0" borderId="22" xfId="145" applyNumberFormat="1" applyFont="1" applyFill="1" applyBorder="1" applyAlignment="1">
      <alignment horizontal="center" vertical="center" wrapText="1"/>
    </xf>
    <xf numFmtId="171" fontId="52" fillId="0" borderId="22" xfId="144" applyNumberFormat="1" applyFont="1" applyFill="1" applyBorder="1" applyAlignment="1">
      <alignment horizontal="center" vertical="center"/>
    </xf>
    <xf numFmtId="170" fontId="52" fillId="0" borderId="22" xfId="144" applyNumberFormat="1" applyFont="1" applyFill="1" applyBorder="1" applyAlignment="1">
      <alignment horizontal="center" vertical="center"/>
    </xf>
    <xf numFmtId="170" fontId="52" fillId="0" borderId="43" xfId="144" applyNumberFormat="1" applyFont="1" applyFill="1" applyBorder="1" applyAlignment="1">
      <alignment horizontal="center" vertical="center"/>
    </xf>
    <xf numFmtId="2" fontId="52" fillId="0" borderId="4" xfId="145" applyNumberFormat="1" applyFont="1" applyFill="1" applyBorder="1" applyAlignment="1">
      <alignment vertical="center" wrapText="1"/>
    </xf>
    <xf numFmtId="2" fontId="52" fillId="0" borderId="5" xfId="145" applyNumberFormat="1" applyFont="1" applyFill="1" applyBorder="1" applyAlignment="1">
      <alignment vertical="center" wrapText="1"/>
    </xf>
    <xf numFmtId="2" fontId="52" fillId="0" borderId="22" xfId="144" applyNumberFormat="1" applyFont="1" applyFill="1" applyBorder="1" applyAlignment="1">
      <alignment horizontal="center" vertical="center"/>
    </xf>
    <xf numFmtId="2" fontId="52" fillId="0" borderId="4" xfId="145" applyNumberFormat="1" applyFont="1" applyFill="1" applyBorder="1" applyAlignment="1">
      <alignment horizontal="justify" vertical="center"/>
    </xf>
    <xf numFmtId="2" fontId="52" fillId="0" borderId="4" xfId="1243" applyNumberFormat="1" applyFont="1" applyBorder="1" applyAlignment="1">
      <alignment horizontal="justify" vertical="center"/>
    </xf>
    <xf numFmtId="2" fontId="52" fillId="0" borderId="5" xfId="1243" applyNumberFormat="1" applyFont="1" applyBorder="1" applyAlignment="1">
      <alignment horizontal="left" vertical="center" wrapText="1"/>
    </xf>
    <xf numFmtId="2" fontId="54" fillId="0" borderId="4" xfId="145" applyNumberFormat="1" applyFont="1" applyFill="1" applyBorder="1" applyAlignment="1">
      <alignment vertical="center" wrapText="1"/>
    </xf>
    <xf numFmtId="2" fontId="52" fillId="0" borderId="4" xfId="1243" applyNumberFormat="1" applyFont="1" applyBorder="1" applyAlignment="1">
      <alignment horizontal="left" vertical="center" wrapText="1"/>
    </xf>
    <xf numFmtId="2" fontId="52" fillId="0" borderId="5" xfId="1243" applyNumberFormat="1" applyFont="1" applyBorder="1" applyAlignment="1">
      <alignment horizontal="justify" vertical="center"/>
    </xf>
    <xf numFmtId="0" fontId="52" fillId="0" borderId="4" xfId="1243" applyFont="1" applyBorder="1" applyAlignment="1">
      <alignment horizontal="justify" vertical="center"/>
    </xf>
    <xf numFmtId="0" fontId="52" fillId="0" borderId="5" xfId="1243" applyFont="1" applyBorder="1" applyAlignment="1">
      <alignment horizontal="justify" vertical="center"/>
    </xf>
    <xf numFmtId="170" fontId="54" fillId="0" borderId="22" xfId="144" applyNumberFormat="1" applyFont="1" applyFill="1" applyBorder="1" applyAlignment="1">
      <alignment horizontal="center" vertical="center"/>
    </xf>
    <xf numFmtId="1" fontId="52" fillId="0" borderId="18" xfId="144" applyNumberFormat="1" applyFont="1" applyFill="1" applyBorder="1" applyAlignment="1">
      <alignment horizontal="center" vertical="center"/>
    </xf>
    <xf numFmtId="170" fontId="54" fillId="0" borderId="18" xfId="144" applyNumberFormat="1" applyFont="1" applyFill="1" applyBorder="1" applyAlignment="1">
      <alignment horizontal="center" vertical="center"/>
    </xf>
    <xf numFmtId="170" fontId="17" fillId="0" borderId="3" xfId="144" applyNumberFormat="1" applyFont="1" applyFill="1" applyBorder="1" applyAlignment="1">
      <alignment vertical="center"/>
    </xf>
    <xf numFmtId="1" fontId="17" fillId="0" borderId="0" xfId="144" applyNumberFormat="1" applyFont="1" applyFill="1" applyBorder="1" applyAlignment="1">
      <alignment horizontal="center" vertical="center"/>
    </xf>
    <xf numFmtId="170" fontId="17" fillId="0" borderId="0" xfId="144" applyNumberFormat="1" applyFont="1" applyFill="1" applyBorder="1" applyAlignment="1">
      <alignment horizontal="justify" vertical="center"/>
    </xf>
    <xf numFmtId="171" fontId="17" fillId="0" borderId="0" xfId="144" applyNumberFormat="1" applyFont="1" applyFill="1" applyBorder="1" applyAlignment="1">
      <alignment horizontal="center" vertical="center"/>
    </xf>
    <xf numFmtId="170" fontId="17" fillId="0" borderId="0" xfId="144" applyNumberFormat="1" applyFont="1" applyFill="1" applyBorder="1" applyAlignment="1">
      <alignment horizontal="right" vertical="center"/>
    </xf>
    <xf numFmtId="170" fontId="16" fillId="0" borderId="0" xfId="144" applyNumberFormat="1" applyFont="1" applyFill="1" applyBorder="1" applyAlignment="1">
      <alignment horizontal="left" vertical="center"/>
    </xf>
    <xf numFmtId="0" fontId="78" fillId="0" borderId="0" xfId="87" applyFont="1" applyBorder="1"/>
    <xf numFmtId="2" fontId="78" fillId="0" borderId="0" xfId="87" applyNumberFormat="1" applyFont="1" applyBorder="1" applyAlignment="1">
      <alignment horizontal="justify" vertical="center" wrapText="1"/>
    </xf>
    <xf numFmtId="0" fontId="78" fillId="0" borderId="0" xfId="87" applyFont="1" applyBorder="1" applyAlignment="1">
      <alignment vertical="center"/>
    </xf>
    <xf numFmtId="170" fontId="9" fillId="0" borderId="0" xfId="1243" applyNumberFormat="1" applyFont="1"/>
    <xf numFmtId="0" fontId="49" fillId="0" borderId="18" xfId="0" applyNumberFormat="1" applyFont="1" applyBorder="1" applyAlignment="1">
      <alignment wrapText="1"/>
    </xf>
    <xf numFmtId="0" fontId="49" fillId="0" borderId="0" xfId="0" applyNumberFormat="1" applyFont="1" applyAlignment="1">
      <alignment vertical="center"/>
    </xf>
    <xf numFmtId="0" fontId="75" fillId="0" borderId="18" xfId="0" applyNumberFormat="1" applyFont="1" applyBorder="1" applyAlignment="1">
      <alignment horizontal="center" vertical="center"/>
    </xf>
    <xf numFmtId="0" fontId="79" fillId="0" borderId="18" xfId="0" applyNumberFormat="1" applyFont="1" applyBorder="1" applyAlignment="1">
      <alignment wrapText="1"/>
    </xf>
    <xf numFmtId="0" fontId="0" fillId="0" borderId="18" xfId="0" applyNumberFormat="1" applyBorder="1"/>
    <xf numFmtId="0" fontId="28" fillId="0" borderId="18" xfId="0" applyNumberFormat="1" applyFont="1" applyBorder="1"/>
    <xf numFmtId="2" fontId="28" fillId="0" borderId="18" xfId="0" applyNumberFormat="1" applyFont="1" applyBorder="1"/>
    <xf numFmtId="2" fontId="28" fillId="0" borderId="18" xfId="0" applyNumberFormat="1" applyFont="1" applyBorder="1" applyAlignment="1">
      <alignment horizontal="center"/>
    </xf>
    <xf numFmtId="0" fontId="27" fillId="0" borderId="18" xfId="0" applyNumberFormat="1" applyFont="1" applyBorder="1" applyAlignment="1">
      <alignment horizontal="center"/>
    </xf>
    <xf numFmtId="2" fontId="27" fillId="0" borderId="18" xfId="0" applyNumberFormat="1" applyFont="1" applyBorder="1" applyAlignment="1">
      <alignment horizontal="center"/>
    </xf>
    <xf numFmtId="0" fontId="80" fillId="0" borderId="18" xfId="0" applyNumberFormat="1" applyFont="1" applyBorder="1" applyAlignment="1">
      <alignment horizontal="center" vertical="center"/>
    </xf>
    <xf numFmtId="0" fontId="28" fillId="0" borderId="18" xfId="0" applyNumberFormat="1" applyFont="1" applyBorder="1" applyAlignment="1">
      <alignment wrapText="1"/>
    </xf>
    <xf numFmtId="2" fontId="27" fillId="0" borderId="18" xfId="0" applyNumberFormat="1" applyFont="1" applyBorder="1"/>
    <xf numFmtId="0" fontId="16" fillId="0" borderId="18" xfId="0" applyNumberFormat="1" applyFont="1" applyBorder="1"/>
    <xf numFmtId="0" fontId="16" fillId="0" borderId="18" xfId="0" applyNumberFormat="1" applyFont="1" applyBorder="1" applyAlignment="1">
      <alignment wrapText="1"/>
    </xf>
    <xf numFmtId="2" fontId="16" fillId="0" borderId="18" xfId="0" applyNumberFormat="1" applyFont="1" applyBorder="1"/>
    <xf numFmtId="2" fontId="16" fillId="0" borderId="18" xfId="0" applyNumberFormat="1" applyFont="1" applyBorder="1" applyAlignment="1">
      <alignment horizontal="center"/>
    </xf>
    <xf numFmtId="0" fontId="81" fillId="0" borderId="18" xfId="0" applyNumberFormat="1" applyFont="1" applyBorder="1" applyAlignment="1">
      <alignment wrapText="1"/>
    </xf>
    <xf numFmtId="2" fontId="15" fillId="0" borderId="18" xfId="0" applyNumberFormat="1" applyFont="1" applyBorder="1" applyAlignment="1">
      <alignment horizontal="center"/>
    </xf>
    <xf numFmtId="2" fontId="76" fillId="0" borderId="18" xfId="0" applyNumberFormat="1" applyFont="1" applyBorder="1"/>
    <xf numFmtId="0" fontId="25" fillId="0" borderId="18" xfId="0" applyNumberFormat="1" applyFont="1" applyBorder="1"/>
    <xf numFmtId="0" fontId="82" fillId="0" borderId="18" xfId="0" applyNumberFormat="1" applyFont="1" applyBorder="1" applyAlignment="1">
      <alignment wrapText="1"/>
    </xf>
    <xf numFmtId="2" fontId="75" fillId="0" borderId="18" xfId="0" applyNumberFormat="1" applyFont="1" applyBorder="1"/>
    <xf numFmtId="0" fontId="0" fillId="0" borderId="18" xfId="0" applyNumberFormat="1" applyFont="1" applyBorder="1"/>
    <xf numFmtId="2" fontId="76" fillId="0" borderId="0" xfId="0" applyNumberFormat="1" applyFont="1"/>
    <xf numFmtId="0" fontId="79" fillId="0" borderId="18" xfId="0" applyNumberFormat="1" applyFont="1" applyBorder="1" applyAlignment="1">
      <alignment horizontal="center"/>
    </xf>
    <xf numFmtId="172" fontId="52" fillId="0" borderId="0" xfId="0" applyNumberFormat="1" applyFont="1" applyFill="1" applyBorder="1" applyAlignment="1">
      <alignment horizontal="center"/>
    </xf>
    <xf numFmtId="170" fontId="52" fillId="0" borderId="0" xfId="0" applyFont="1" applyFill="1" applyBorder="1" applyAlignment="1">
      <alignment horizontal="center"/>
    </xf>
    <xf numFmtId="172" fontId="9" fillId="0" borderId="0" xfId="0" applyNumberFormat="1" applyFont="1" applyFill="1" applyBorder="1"/>
    <xf numFmtId="175" fontId="52" fillId="0" borderId="0" xfId="0" applyNumberFormat="1" applyFont="1" applyFill="1" applyBorder="1" applyAlignment="1">
      <alignment horizontal="center"/>
    </xf>
    <xf numFmtId="170" fontId="54" fillId="0" borderId="0" xfId="0" applyFont="1" applyFill="1" applyBorder="1" applyAlignment="1">
      <alignment horizontal="center"/>
    </xf>
    <xf numFmtId="0" fontId="49" fillId="0" borderId="18" xfId="143" applyFont="1" applyFill="1" applyBorder="1" applyAlignment="1">
      <alignment horizontal="center" vertical="center" wrapText="1"/>
    </xf>
    <xf numFmtId="0" fontId="49" fillId="0" borderId="18" xfId="143" applyFont="1" applyFill="1" applyBorder="1" applyAlignment="1">
      <alignment horizontal="left" vertical="center" wrapText="1"/>
    </xf>
    <xf numFmtId="171" fontId="49" fillId="0" borderId="18" xfId="143" applyNumberFormat="1" applyFont="1" applyFill="1" applyBorder="1" applyAlignment="1">
      <alignment horizontal="center" vertical="center" wrapText="1"/>
    </xf>
    <xf numFmtId="172" fontId="49" fillId="0" borderId="18" xfId="143" applyNumberFormat="1" applyFont="1" applyFill="1" applyBorder="1" applyAlignment="1">
      <alignment horizontal="center" vertical="center" wrapText="1"/>
    </xf>
    <xf numFmtId="170" fontId="49" fillId="0" borderId="18" xfId="143" applyNumberFormat="1" applyFont="1" applyFill="1" applyBorder="1" applyAlignment="1">
      <alignment horizontal="center" vertical="center" wrapText="1"/>
    </xf>
    <xf numFmtId="170" fontId="49" fillId="0" borderId="19" xfId="143" applyNumberFormat="1" applyFont="1" applyFill="1" applyBorder="1" applyAlignment="1">
      <alignment horizontal="center" vertical="center" wrapText="1"/>
    </xf>
    <xf numFmtId="170" fontId="49" fillId="0" borderId="18" xfId="0" applyFont="1" applyFill="1" applyBorder="1" applyAlignment="1">
      <alignment horizontal="center"/>
    </xf>
    <xf numFmtId="173" fontId="49" fillId="0" borderId="18" xfId="143" applyNumberFormat="1" applyFont="1" applyFill="1" applyBorder="1" applyAlignment="1">
      <alignment horizontal="center" vertical="center" wrapText="1"/>
    </xf>
    <xf numFmtId="0" fontId="84" fillId="0" borderId="18" xfId="143" applyFont="1" applyFill="1" applyBorder="1" applyAlignment="1">
      <alignment horizontal="left" vertical="center" wrapText="1"/>
    </xf>
    <xf numFmtId="170" fontId="84" fillId="0" borderId="18" xfId="0" applyFont="1" applyFill="1" applyBorder="1" applyAlignment="1">
      <alignment horizontal="center"/>
    </xf>
    <xf numFmtId="0" fontId="84" fillId="0" borderId="18" xfId="143" applyFont="1" applyFill="1" applyBorder="1" applyAlignment="1">
      <alignment horizontal="center" vertical="center" wrapText="1"/>
    </xf>
    <xf numFmtId="0" fontId="84" fillId="0" borderId="18" xfId="0" applyNumberFormat="1" applyFont="1" applyFill="1" applyBorder="1" applyAlignment="1">
      <alignment horizontal="center" vertical="center"/>
    </xf>
    <xf numFmtId="0" fontId="83" fillId="0" borderId="18" xfId="0" applyNumberFormat="1" applyFont="1" applyFill="1" applyBorder="1" applyAlignment="1">
      <alignment horizontal="left" vertical="center"/>
    </xf>
    <xf numFmtId="2" fontId="84" fillId="0" borderId="19" xfId="0" applyNumberFormat="1" applyFont="1" applyFill="1" applyBorder="1" applyAlignment="1">
      <alignment horizontal="center" vertical="center"/>
    </xf>
    <xf numFmtId="2" fontId="84" fillId="0" borderId="18" xfId="0" applyNumberFormat="1" applyFont="1" applyFill="1" applyBorder="1" applyAlignment="1">
      <alignment horizontal="center" vertical="center"/>
    </xf>
    <xf numFmtId="0" fontId="49" fillId="0" borderId="18" xfId="0" applyNumberFormat="1" applyFont="1" applyFill="1" applyBorder="1" applyAlignment="1">
      <alignment horizontal="left" vertical="center" wrapText="1"/>
    </xf>
    <xf numFmtId="0" fontId="49" fillId="0" borderId="18" xfId="0" applyNumberFormat="1" applyFont="1" applyFill="1" applyBorder="1" applyAlignment="1">
      <alignment horizontal="center" vertical="center"/>
    </xf>
    <xf numFmtId="2" fontId="49" fillId="0" borderId="18" xfId="0" applyNumberFormat="1" applyFont="1" applyFill="1" applyBorder="1" applyAlignment="1">
      <alignment horizontal="center" vertical="center"/>
    </xf>
    <xf numFmtId="0" fontId="83" fillId="0" borderId="18" xfId="0" applyNumberFormat="1" applyFont="1" applyFill="1" applyBorder="1" applyAlignment="1">
      <alignment horizontal="left" vertical="center" wrapText="1"/>
    </xf>
    <xf numFmtId="0" fontId="49" fillId="0" borderId="18" xfId="0" applyNumberFormat="1" applyFont="1" applyFill="1" applyBorder="1" applyAlignment="1">
      <alignment horizontal="left" vertical="center"/>
    </xf>
    <xf numFmtId="2" fontId="49" fillId="0" borderId="19" xfId="0" applyNumberFormat="1" applyFont="1" applyFill="1" applyBorder="1" applyAlignment="1">
      <alignment horizontal="center" vertical="center"/>
    </xf>
    <xf numFmtId="167" fontId="84" fillId="0" borderId="18" xfId="146" applyFont="1" applyFill="1" applyBorder="1" applyAlignment="1">
      <alignment vertical="center"/>
    </xf>
    <xf numFmtId="178" fontId="49" fillId="0" borderId="18" xfId="0" applyNumberFormat="1" applyFont="1" applyFill="1" applyBorder="1" applyAlignment="1">
      <alignment horizontal="center" vertical="center"/>
    </xf>
    <xf numFmtId="178" fontId="49" fillId="0" borderId="18" xfId="0" applyNumberFormat="1" applyFont="1" applyBorder="1" applyAlignment="1">
      <alignment horizontal="center"/>
    </xf>
    <xf numFmtId="0" fontId="49" fillId="0" borderId="18" xfId="0" applyNumberFormat="1" applyFont="1" applyFill="1" applyBorder="1" applyAlignment="1">
      <alignment vertical="center" wrapText="1"/>
    </xf>
    <xf numFmtId="0" fontId="49" fillId="0" borderId="18" xfId="0" applyNumberFormat="1" applyFont="1" applyFill="1" applyBorder="1"/>
    <xf numFmtId="167" fontId="84" fillId="0" borderId="18" xfId="146" applyFont="1" applyFill="1" applyBorder="1" applyAlignment="1">
      <alignment horizontal="left" vertical="center"/>
    </xf>
    <xf numFmtId="0" fontId="49" fillId="0" borderId="18" xfId="0" applyNumberFormat="1" applyFont="1" applyFill="1" applyBorder="1" applyAlignment="1">
      <alignment horizontal="center" vertical="top"/>
    </xf>
    <xf numFmtId="0" fontId="83" fillId="0" borderId="18" xfId="0" applyNumberFormat="1" applyFont="1" applyFill="1" applyBorder="1" applyAlignment="1">
      <alignment vertical="center" wrapText="1"/>
    </xf>
    <xf numFmtId="0" fontId="49" fillId="0" borderId="18" xfId="0" applyNumberFormat="1" applyFont="1" applyFill="1" applyBorder="1" applyAlignment="1">
      <alignment horizontal="center" vertical="center" wrapText="1"/>
    </xf>
    <xf numFmtId="2" fontId="49" fillId="0" borderId="18" xfId="0" applyNumberFormat="1" applyFont="1" applyFill="1" applyBorder="1" applyAlignment="1">
      <alignment horizontal="center" vertical="center" wrapText="1"/>
    </xf>
    <xf numFmtId="0" fontId="49" fillId="0" borderId="19" xfId="0" applyNumberFormat="1" applyFont="1" applyFill="1" applyBorder="1" applyAlignment="1">
      <alignment horizontal="center" vertical="center"/>
    </xf>
    <xf numFmtId="0" fontId="84" fillId="0" borderId="18" xfId="0" applyNumberFormat="1" applyFont="1" applyFill="1" applyBorder="1" applyAlignment="1">
      <alignment horizontal="left" vertical="center"/>
    </xf>
    <xf numFmtId="0" fontId="83" fillId="0" borderId="18" xfId="0" applyNumberFormat="1" applyFont="1" applyFill="1" applyBorder="1" applyAlignment="1">
      <alignment horizontal="center" vertical="top"/>
    </xf>
    <xf numFmtId="0" fontId="49" fillId="0" borderId="18" xfId="0" applyNumberFormat="1" applyFont="1" applyFill="1" applyBorder="1" applyAlignment="1">
      <alignment vertical="top"/>
    </xf>
    <xf numFmtId="0" fontId="84" fillId="0" borderId="18" xfId="0" applyNumberFormat="1" applyFont="1" applyFill="1" applyBorder="1" applyAlignment="1">
      <alignment horizontal="center" vertical="top"/>
    </xf>
    <xf numFmtId="0" fontId="49" fillId="0" borderId="19" xfId="0" applyNumberFormat="1" applyFont="1" applyFill="1" applyBorder="1"/>
    <xf numFmtId="0" fontId="87" fillId="0" borderId="18" xfId="0" applyNumberFormat="1" applyFont="1" applyFill="1" applyBorder="1" applyAlignment="1">
      <alignment vertical="center"/>
    </xf>
    <xf numFmtId="0" fontId="83" fillId="0" borderId="18" xfId="0" applyNumberFormat="1" applyFont="1" applyFill="1" applyBorder="1" applyAlignment="1">
      <alignment vertical="center"/>
    </xf>
    <xf numFmtId="178" fontId="49" fillId="0" borderId="18" xfId="0" applyNumberFormat="1" applyFont="1" applyFill="1" applyBorder="1" applyAlignment="1">
      <alignment horizontal="center" vertical="center" wrapText="1"/>
    </xf>
    <xf numFmtId="0" fontId="84" fillId="0" borderId="19" xfId="0" applyNumberFormat="1" applyFont="1" applyFill="1" applyBorder="1" applyAlignment="1">
      <alignment horizontal="center" vertical="center" wrapText="1"/>
    </xf>
    <xf numFmtId="0" fontId="84" fillId="0" borderId="18" xfId="0" applyNumberFormat="1" applyFont="1" applyFill="1" applyBorder="1" applyAlignment="1">
      <alignment horizontal="left" vertical="center" wrapText="1"/>
    </xf>
    <xf numFmtId="0" fontId="84" fillId="0" borderId="18" xfId="0" applyNumberFormat="1" applyFont="1" applyFill="1" applyBorder="1" applyAlignment="1">
      <alignment vertical="center" wrapText="1"/>
    </xf>
    <xf numFmtId="0" fontId="84" fillId="0" borderId="18" xfId="0" applyNumberFormat="1" applyFont="1" applyFill="1" applyBorder="1" applyAlignment="1">
      <alignment horizontal="center" vertical="center" wrapText="1"/>
    </xf>
    <xf numFmtId="0" fontId="49" fillId="0" borderId="18" xfId="0" applyNumberFormat="1" applyFont="1" applyFill="1" applyBorder="1" applyAlignment="1">
      <alignment vertical="center"/>
    </xf>
    <xf numFmtId="2" fontId="49" fillId="0" borderId="19" xfId="0" applyNumberFormat="1" applyFont="1" applyFill="1" applyBorder="1" applyAlignment="1">
      <alignment horizontal="center" vertical="center" wrapText="1"/>
    </xf>
    <xf numFmtId="0" fontId="84" fillId="0" borderId="18" xfId="0" applyNumberFormat="1" applyFont="1" applyFill="1" applyBorder="1" applyAlignment="1">
      <alignment vertical="center"/>
    </xf>
    <xf numFmtId="1" fontId="49" fillId="0" borderId="23" xfId="144" applyNumberFormat="1" applyFont="1" applyFill="1" applyBorder="1" applyAlignment="1">
      <alignment horizontal="center" vertical="center"/>
    </xf>
    <xf numFmtId="2" fontId="84" fillId="0" borderId="19" xfId="145" applyNumberFormat="1" applyFont="1" applyFill="1" applyBorder="1" applyAlignment="1">
      <alignment horizontal="left" vertical="center" wrapText="1"/>
    </xf>
    <xf numFmtId="1" fontId="49" fillId="0" borderId="18" xfId="145" applyNumberFormat="1" applyFont="1" applyFill="1" applyBorder="1" applyAlignment="1">
      <alignment horizontal="center" vertical="center" wrapText="1"/>
    </xf>
    <xf numFmtId="171" fontId="49" fillId="0" borderId="18" xfId="144" applyNumberFormat="1" applyFont="1" applyFill="1" applyBorder="1" applyAlignment="1">
      <alignment horizontal="center" vertical="center"/>
    </xf>
    <xf numFmtId="170" fontId="49" fillId="0" borderId="18" xfId="144" applyNumberFormat="1" applyFont="1" applyFill="1" applyBorder="1" applyAlignment="1">
      <alignment horizontal="center" vertical="center"/>
    </xf>
    <xf numFmtId="170" fontId="49" fillId="0" borderId="18" xfId="144" applyNumberFormat="1" applyFont="1" applyFill="1" applyBorder="1" applyAlignment="1">
      <alignment horizontal="right" vertical="center"/>
    </xf>
    <xf numFmtId="170" fontId="84" fillId="0" borderId="18" xfId="144" applyNumberFormat="1" applyFont="1" applyFill="1" applyBorder="1" applyAlignment="1">
      <alignment horizontal="left" vertical="center"/>
    </xf>
    <xf numFmtId="1" fontId="49" fillId="0" borderId="23" xfId="144" applyNumberFormat="1" applyFont="1" applyFill="1" applyBorder="1" applyAlignment="1">
      <alignment horizontal="center" vertical="top"/>
    </xf>
    <xf numFmtId="2" fontId="49" fillId="0" borderId="19" xfId="145" applyNumberFormat="1" applyFont="1" applyFill="1" applyBorder="1" applyAlignment="1">
      <alignment horizontal="left" vertical="center" wrapText="1"/>
    </xf>
    <xf numFmtId="0" fontId="88" fillId="0" borderId="18" xfId="0" applyNumberFormat="1" applyFont="1" applyFill="1" applyBorder="1" applyAlignment="1">
      <alignment horizontal="left" wrapText="1"/>
    </xf>
    <xf numFmtId="2" fontId="49" fillId="0" borderId="20" xfId="0" applyNumberFormat="1" applyFont="1" applyFill="1" applyBorder="1" applyAlignment="1">
      <alignment horizontal="center" vertical="center" wrapText="1"/>
    </xf>
    <xf numFmtId="1" fontId="49" fillId="0" borderId="18" xfId="0" applyNumberFormat="1" applyFont="1" applyFill="1" applyBorder="1" applyAlignment="1">
      <alignment horizontal="center"/>
    </xf>
    <xf numFmtId="170" fontId="49" fillId="0" borderId="18" xfId="0" applyNumberFormat="1" applyFont="1" applyFill="1" applyBorder="1" applyAlignment="1">
      <alignment horizontal="center"/>
    </xf>
    <xf numFmtId="170" fontId="49" fillId="0" borderId="18" xfId="0" applyNumberFormat="1" applyFont="1" applyFill="1" applyBorder="1" applyAlignment="1">
      <alignment horizontal="center" vertical="center"/>
    </xf>
    <xf numFmtId="170" fontId="84" fillId="0" borderId="19" xfId="0" applyNumberFormat="1" applyFont="1" applyFill="1" applyBorder="1" applyAlignment="1">
      <alignment horizontal="center" vertical="center"/>
    </xf>
    <xf numFmtId="170" fontId="49" fillId="0" borderId="18" xfId="0" applyFont="1" applyFill="1" applyBorder="1" applyAlignment="1">
      <alignment horizontal="center" vertical="center"/>
    </xf>
    <xf numFmtId="170" fontId="52" fillId="0" borderId="0" xfId="0" applyFont="1" applyFill="1" applyBorder="1" applyAlignment="1">
      <alignment horizontal="center" vertical="center"/>
    </xf>
    <xf numFmtId="0" fontId="49" fillId="0" borderId="18" xfId="0" applyNumberFormat="1" applyFont="1" applyFill="1" applyBorder="1" applyAlignment="1">
      <alignment horizontal="left" wrapText="1"/>
    </xf>
    <xf numFmtId="170" fontId="84" fillId="0" borderId="18" xfId="0" applyFont="1" applyFill="1" applyBorder="1" applyAlignment="1">
      <alignment horizontal="center" vertical="center"/>
    </xf>
    <xf numFmtId="170" fontId="54" fillId="0" borderId="0" xfId="0" applyFont="1" applyFill="1" applyBorder="1" applyAlignment="1">
      <alignment horizontal="center" vertical="center"/>
    </xf>
    <xf numFmtId="1" fontId="84" fillId="0" borderId="18" xfId="0" applyNumberFormat="1" applyFont="1" applyFill="1" applyBorder="1" applyAlignment="1">
      <alignment horizontal="center" vertical="center"/>
    </xf>
    <xf numFmtId="0" fontId="49" fillId="0" borderId="18" xfId="0" applyNumberFormat="1" applyFont="1" applyFill="1" applyBorder="1" applyAlignment="1">
      <alignment horizontal="center"/>
    </xf>
    <xf numFmtId="170" fontId="49" fillId="0" borderId="19" xfId="0" applyNumberFormat="1" applyFont="1" applyFill="1" applyBorder="1" applyAlignment="1">
      <alignment horizontal="center" vertical="center"/>
    </xf>
    <xf numFmtId="0" fontId="15" fillId="0" borderId="44" xfId="86" applyFont="1" applyFill="1" applyBorder="1" applyAlignment="1">
      <alignment horizontal="left" vertical="top" wrapText="1"/>
    </xf>
    <xf numFmtId="0" fontId="16" fillId="0" borderId="44" xfId="86" applyFont="1" applyFill="1" applyBorder="1" applyAlignment="1">
      <alignment horizontal="left" vertical="top" wrapText="1"/>
    </xf>
    <xf numFmtId="0" fontId="16" fillId="0" borderId="44" xfId="86" applyFont="1" applyFill="1" applyBorder="1" applyAlignment="1">
      <alignment vertical="top" wrapText="1"/>
    </xf>
    <xf numFmtId="0" fontId="15" fillId="0" borderId="44" xfId="86" applyFont="1" applyFill="1" applyBorder="1" applyAlignment="1">
      <alignment horizontal="left" vertical="center" wrapText="1"/>
    </xf>
    <xf numFmtId="0" fontId="16" fillId="0" borderId="44" xfId="86" applyFont="1" applyFill="1" applyBorder="1" applyAlignment="1">
      <alignment horizontal="left" vertical="justify" wrapText="1"/>
    </xf>
    <xf numFmtId="170" fontId="50" fillId="0" borderId="0" xfId="139" applyFont="1" applyAlignment="1">
      <alignment horizontal="center" vertical="center"/>
    </xf>
    <xf numFmtId="0" fontId="58" fillId="8" borderId="0" xfId="143" applyFont="1" applyFill="1" applyBorder="1" applyAlignment="1">
      <alignment vertical="center" wrapText="1"/>
    </xf>
    <xf numFmtId="0" fontId="52" fillId="8" borderId="0" xfId="143" applyFont="1" applyFill="1" applyBorder="1" applyAlignment="1">
      <alignment horizontal="center" vertical="center" wrapText="1"/>
    </xf>
    <xf numFmtId="170" fontId="52" fillId="8" borderId="0" xfId="0" applyFont="1" applyFill="1" applyBorder="1" applyAlignment="1">
      <alignment horizontal="center"/>
    </xf>
    <xf numFmtId="170" fontId="9" fillId="8" borderId="0" xfId="0" applyFont="1" applyFill="1" applyBorder="1"/>
    <xf numFmtId="170" fontId="9" fillId="8" borderId="0" xfId="0" applyFont="1" applyFill="1"/>
    <xf numFmtId="0" fontId="52" fillId="8" borderId="0" xfId="0" applyNumberFormat="1" applyFont="1" applyFill="1" applyBorder="1" applyAlignment="1">
      <alignment horizontal="center" vertical="center"/>
    </xf>
    <xf numFmtId="0" fontId="52" fillId="8" borderId="0" xfId="0" applyNumberFormat="1" applyFont="1" applyFill="1" applyBorder="1" applyAlignment="1">
      <alignment vertical="top"/>
    </xf>
    <xf numFmtId="170" fontId="54" fillId="8" borderId="0" xfId="0" applyFont="1" applyFill="1" applyBorder="1" applyAlignment="1">
      <alignment horizontal="center"/>
    </xf>
    <xf numFmtId="170" fontId="0" fillId="8" borderId="0" xfId="0" applyFont="1" applyFill="1" applyBorder="1"/>
    <xf numFmtId="170" fontId="0" fillId="8" borderId="0" xfId="0" applyFont="1" applyFill="1"/>
    <xf numFmtId="0" fontId="61" fillId="8" borderId="0" xfId="0" applyNumberFormat="1" applyFont="1" applyFill="1" applyBorder="1" applyAlignment="1">
      <alignment horizontal="center" vertical="center" wrapText="1"/>
    </xf>
    <xf numFmtId="0" fontId="61" fillId="8" borderId="0" xfId="0" applyNumberFormat="1" applyFont="1" applyFill="1" applyBorder="1" applyAlignment="1">
      <alignment horizontal="left" wrapText="1"/>
    </xf>
    <xf numFmtId="0" fontId="61" fillId="8" borderId="0" xfId="0" applyNumberFormat="1" applyFont="1" applyFill="1" applyAlignment="1">
      <alignment horizontal="left" wrapText="1"/>
    </xf>
    <xf numFmtId="170" fontId="48" fillId="0" borderId="0" xfId="0" applyFont="1" applyAlignment="1">
      <alignment horizontal="center" vertical="center" wrapText="1"/>
    </xf>
    <xf numFmtId="170" fontId="47" fillId="0" borderId="0" xfId="0" applyFont="1" applyAlignment="1">
      <alignment horizontal="left" vertical="center" wrapText="1"/>
    </xf>
    <xf numFmtId="1" fontId="49" fillId="0" borderId="18" xfId="0" applyNumberFormat="1" applyFont="1" applyFill="1" applyBorder="1" applyAlignment="1">
      <alignment horizontal="center" vertical="center"/>
    </xf>
    <xf numFmtId="177" fontId="84" fillId="0" borderId="18" xfId="0" applyNumberFormat="1" applyFont="1" applyFill="1" applyBorder="1" applyAlignment="1">
      <alignment horizontal="center" vertical="center"/>
    </xf>
    <xf numFmtId="0" fontId="52" fillId="0" borderId="0" xfId="143" applyFont="1" applyFill="1" applyBorder="1" applyAlignment="1">
      <alignment horizontal="center" vertical="center" wrapText="1"/>
    </xf>
    <xf numFmtId="0" fontId="54" fillId="0" borderId="0" xfId="143" applyFont="1" applyFill="1" applyBorder="1" applyAlignment="1">
      <alignment horizontal="center" vertical="center" wrapText="1"/>
    </xf>
    <xf numFmtId="1" fontId="84" fillId="0" borderId="18" xfId="143" applyNumberFormat="1" applyFont="1" applyFill="1" applyBorder="1" applyAlignment="1">
      <alignment horizontal="center" vertical="center" wrapText="1"/>
    </xf>
    <xf numFmtId="177" fontId="90" fillId="0" borderId="2" xfId="37" applyNumberFormat="1" applyFont="1" applyFill="1" applyBorder="1" applyAlignment="1">
      <alignment vertical="top" wrapText="1"/>
    </xf>
    <xf numFmtId="2" fontId="90" fillId="0" borderId="2" xfId="37" applyNumberFormat="1" applyFont="1" applyFill="1" applyBorder="1" applyAlignment="1">
      <alignment vertical="top" wrapText="1"/>
    </xf>
    <xf numFmtId="0" fontId="49" fillId="0" borderId="18" xfId="87" applyFont="1" applyFill="1" applyBorder="1" applyAlignment="1">
      <alignment horizontal="center" vertical="top" wrapText="1"/>
    </xf>
    <xf numFmtId="0" fontId="49" fillId="0" borderId="18" xfId="87" applyFont="1" applyFill="1" applyBorder="1" applyAlignment="1">
      <alignment horizontal="justify" vertical="center" wrapText="1"/>
    </xf>
    <xf numFmtId="0" fontId="49" fillId="0" borderId="18" xfId="87" applyFont="1" applyFill="1" applyBorder="1" applyAlignment="1">
      <alignment horizontal="justify" vertical="top" wrapText="1"/>
    </xf>
    <xf numFmtId="0" fontId="49" fillId="0" borderId="18" xfId="87" applyNumberFormat="1" applyFont="1" applyFill="1" applyBorder="1" applyAlignment="1">
      <alignment horizontal="center" vertical="center"/>
    </xf>
    <xf numFmtId="0" fontId="49" fillId="0" borderId="18" xfId="87" applyNumberFormat="1" applyFont="1" applyFill="1" applyBorder="1" applyAlignment="1">
      <alignment horizontal="center"/>
    </xf>
    <xf numFmtId="0" fontId="49" fillId="0" borderId="18" xfId="87" applyNumberFormat="1" applyFont="1" applyFill="1" applyBorder="1" applyAlignment="1">
      <alignment horizontal="right" vertical="center"/>
    </xf>
    <xf numFmtId="0" fontId="49" fillId="0" borderId="18" xfId="87" applyFont="1" applyFill="1" applyBorder="1" applyAlignment="1">
      <alignment horizontal="center"/>
    </xf>
    <xf numFmtId="0" fontId="78" fillId="0" borderId="0" xfId="87" applyFont="1" applyFill="1" applyBorder="1"/>
    <xf numFmtId="171" fontId="58" fillId="0" borderId="0" xfId="143" applyNumberFormat="1" applyFont="1" applyFill="1" applyBorder="1" applyAlignment="1">
      <alignment vertical="center" wrapText="1"/>
    </xf>
    <xf numFmtId="0" fontId="49" fillId="0" borderId="18" xfId="87" applyFont="1" applyFill="1" applyBorder="1" applyAlignment="1">
      <alignment horizontal="center" vertical="center"/>
    </xf>
    <xf numFmtId="0" fontId="49" fillId="0" borderId="18" xfId="87" applyFont="1" applyFill="1" applyBorder="1" applyAlignment="1">
      <alignment horizontal="center" vertical="center" wrapText="1"/>
    </xf>
    <xf numFmtId="0" fontId="49" fillId="0" borderId="18" xfId="87" applyNumberFormat="1" applyFont="1" applyFill="1" applyBorder="1" applyAlignment="1">
      <alignment horizontal="center" vertical="center" wrapText="1"/>
    </xf>
    <xf numFmtId="2" fontId="84" fillId="0" borderId="18" xfId="87" applyNumberFormat="1" applyFont="1" applyFill="1" applyBorder="1" applyAlignment="1">
      <alignment horizontal="center" vertical="center" wrapText="1"/>
    </xf>
    <xf numFmtId="0" fontId="84" fillId="0" borderId="18" xfId="87" applyNumberFormat="1" applyFont="1" applyFill="1" applyBorder="1" applyAlignment="1">
      <alignment horizontal="center" vertical="center" wrapText="1"/>
    </xf>
    <xf numFmtId="2" fontId="78" fillId="0" borderId="0" xfId="87" applyNumberFormat="1" applyFont="1" applyFill="1" applyBorder="1" applyAlignment="1">
      <alignment horizontal="justify" vertical="center" wrapText="1"/>
    </xf>
    <xf numFmtId="0" fontId="78" fillId="0" borderId="0" xfId="87" applyFont="1" applyFill="1" applyBorder="1" applyAlignment="1">
      <alignment vertical="center"/>
    </xf>
    <xf numFmtId="0" fontId="78" fillId="0" borderId="0" xfId="87" applyFont="1" applyFill="1" applyBorder="1" applyAlignment="1">
      <alignment horizontal="justify" vertical="center" wrapText="1"/>
    </xf>
    <xf numFmtId="0" fontId="49" fillId="0" borderId="18" xfId="87" applyFont="1" applyFill="1" applyBorder="1" applyAlignment="1">
      <alignment horizontal="left" vertical="center" wrapText="1"/>
    </xf>
    <xf numFmtId="2" fontId="84" fillId="0" borderId="18" xfId="143" applyNumberFormat="1" applyFont="1" applyFill="1" applyBorder="1" applyAlignment="1">
      <alignment horizontal="center" vertical="center" wrapText="1"/>
    </xf>
    <xf numFmtId="170" fontId="47" fillId="0" borderId="18" xfId="0" applyFont="1" applyFill="1" applyBorder="1" applyAlignment="1">
      <alignment horizontal="center" vertical="center" wrapText="1"/>
    </xf>
    <xf numFmtId="170" fontId="47" fillId="0" borderId="18" xfId="0" applyFont="1" applyFill="1" applyBorder="1" applyAlignment="1">
      <alignment horizontal="left" vertical="center" wrapText="1"/>
    </xf>
    <xf numFmtId="171" fontId="48" fillId="0" borderId="18" xfId="0" applyNumberFormat="1" applyFont="1" applyFill="1" applyBorder="1" applyAlignment="1">
      <alignment horizontal="center" vertical="center" wrapText="1"/>
    </xf>
    <xf numFmtId="172" fontId="48" fillId="0" borderId="18" xfId="0" applyNumberFormat="1" applyFont="1" applyFill="1" applyBorder="1" applyAlignment="1">
      <alignment horizontal="center" vertical="center" wrapText="1"/>
    </xf>
    <xf numFmtId="170" fontId="48" fillId="0" borderId="18" xfId="0" applyFont="1" applyFill="1" applyBorder="1" applyAlignment="1">
      <alignment horizontal="right" vertical="center" wrapText="1"/>
    </xf>
    <xf numFmtId="170" fontId="48" fillId="0" borderId="0" xfId="0" applyFont="1" applyFill="1" applyAlignment="1">
      <alignment horizontal="center" vertical="center" wrapText="1"/>
    </xf>
    <xf numFmtId="170" fontId="48" fillId="0" borderId="18" xfId="0" applyFont="1" applyFill="1" applyBorder="1" applyAlignment="1">
      <alignment horizontal="left" vertical="center" wrapText="1"/>
    </xf>
    <xf numFmtId="177" fontId="49" fillId="0" borderId="18" xfId="37" applyNumberFormat="1" applyFont="1" applyFill="1" applyBorder="1" applyAlignment="1">
      <alignment horizontal="center" vertical="center" wrapText="1"/>
    </xf>
    <xf numFmtId="2" fontId="49" fillId="0" borderId="18" xfId="37" applyNumberFormat="1" applyFont="1" applyFill="1" applyBorder="1" applyAlignment="1">
      <alignment horizontal="left" vertical="center" wrapText="1"/>
    </xf>
    <xf numFmtId="170" fontId="84" fillId="0" borderId="18" xfId="0" applyNumberFormat="1" applyFont="1" applyFill="1" applyBorder="1" applyAlignment="1">
      <alignment horizontal="center" vertical="center"/>
    </xf>
    <xf numFmtId="0" fontId="52" fillId="8" borderId="0" xfId="0" applyNumberFormat="1" applyFont="1" applyFill="1" applyBorder="1" applyAlignment="1">
      <alignment wrapText="1"/>
    </xf>
    <xf numFmtId="0" fontId="61" fillId="8" borderId="0" xfId="0" applyNumberFormat="1" applyFont="1" applyFill="1" applyBorder="1" applyAlignment="1">
      <alignment wrapText="1"/>
    </xf>
    <xf numFmtId="0" fontId="61" fillId="8" borderId="0" xfId="0" applyNumberFormat="1" applyFont="1" applyFill="1" applyAlignment="1">
      <alignment wrapText="1"/>
    </xf>
    <xf numFmtId="0" fontId="52" fillId="8" borderId="0" xfId="0" applyNumberFormat="1" applyFont="1" applyFill="1" applyBorder="1" applyAlignment="1">
      <alignment horizontal="left" wrapText="1"/>
    </xf>
    <xf numFmtId="2" fontId="84" fillId="0" borderId="18" xfId="37" applyNumberFormat="1" applyFont="1" applyFill="1" applyBorder="1" applyAlignment="1">
      <alignment horizontal="left" vertical="center" wrapText="1"/>
    </xf>
    <xf numFmtId="170" fontId="48" fillId="0" borderId="18" xfId="0" applyFont="1" applyFill="1" applyBorder="1" applyAlignment="1">
      <alignment horizontal="center" vertical="center" wrapText="1"/>
    </xf>
    <xf numFmtId="172" fontId="49" fillId="0" borderId="19" xfId="143" applyNumberFormat="1" applyFont="1" applyFill="1" applyBorder="1" applyAlignment="1">
      <alignment horizontal="center" vertical="center" wrapText="1"/>
    </xf>
    <xf numFmtId="170" fontId="84" fillId="0" borderId="18" xfId="0" applyNumberFormat="1" applyFont="1" applyFill="1" applyBorder="1" applyAlignment="1">
      <alignment horizontal="center"/>
    </xf>
    <xf numFmtId="170" fontId="52" fillId="0" borderId="0" xfId="0" applyFont="1" applyFill="1" applyBorder="1"/>
    <xf numFmtId="170" fontId="52" fillId="0" borderId="0" xfId="0" applyFont="1" applyFill="1"/>
    <xf numFmtId="170" fontId="84" fillId="0" borderId="18" xfId="143" applyNumberFormat="1" applyFont="1" applyFill="1" applyBorder="1" applyAlignment="1">
      <alignment horizontal="center" vertical="center" wrapText="1"/>
    </xf>
    <xf numFmtId="170" fontId="84" fillId="0" borderId="19" xfId="143" applyNumberFormat="1" applyFont="1" applyFill="1" applyBorder="1" applyAlignment="1">
      <alignment horizontal="center" vertical="center" wrapText="1"/>
    </xf>
    <xf numFmtId="170" fontId="84" fillId="0" borderId="20" xfId="143" applyNumberFormat="1" applyFont="1" applyFill="1" applyBorder="1" applyAlignment="1">
      <alignment horizontal="center" vertical="center" wrapText="1"/>
    </xf>
    <xf numFmtId="2" fontId="84" fillId="0" borderId="19" xfId="0" applyNumberFormat="1" applyFont="1" applyFill="1" applyBorder="1" applyAlignment="1">
      <alignment horizontal="center" vertical="center" wrapText="1"/>
    </xf>
    <xf numFmtId="2" fontId="84" fillId="0" borderId="20" xfId="0" applyNumberFormat="1" applyFont="1" applyFill="1" applyBorder="1" applyAlignment="1">
      <alignment horizontal="center" vertical="center" wrapText="1"/>
    </xf>
    <xf numFmtId="170" fontId="84" fillId="0" borderId="19" xfId="143" applyNumberFormat="1" applyFont="1" applyFill="1" applyBorder="1" applyAlignment="1">
      <alignment horizontal="center" vertical="center" wrapText="1"/>
    </xf>
    <xf numFmtId="170" fontId="84" fillId="0" borderId="18" xfId="143" applyNumberFormat="1" applyFont="1" applyFill="1" applyBorder="1" applyAlignment="1">
      <alignment horizontal="center" vertical="center" wrapText="1"/>
    </xf>
    <xf numFmtId="170" fontId="48" fillId="43" borderId="0" xfId="0" applyFont="1" applyFill="1" applyAlignment="1">
      <alignment horizontal="center" vertical="center" wrapText="1"/>
    </xf>
    <xf numFmtId="170" fontId="52" fillId="43" borderId="0" xfId="0" applyFont="1" applyFill="1" applyBorder="1" applyAlignment="1">
      <alignment horizontal="center"/>
    </xf>
    <xf numFmtId="170" fontId="0" fillId="43" borderId="0" xfId="0" applyFont="1" applyFill="1" applyBorder="1"/>
    <xf numFmtId="170" fontId="0" fillId="43" borderId="0" xfId="0" applyFont="1" applyFill="1"/>
    <xf numFmtId="0" fontId="84" fillId="0" borderId="18" xfId="143" applyFont="1" applyFill="1" applyBorder="1" applyAlignment="1">
      <alignment horizontal="center" vertical="center" wrapText="1"/>
    </xf>
    <xf numFmtId="0" fontId="73" fillId="0" borderId="18" xfId="0" applyNumberFormat="1" applyFont="1" applyFill="1" applyBorder="1"/>
    <xf numFmtId="0" fontId="73" fillId="0" borderId="18" xfId="0" applyNumberFormat="1" applyFont="1" applyFill="1" applyBorder="1" applyAlignment="1">
      <alignment horizontal="center" vertical="center"/>
    </xf>
    <xf numFmtId="178" fontId="73" fillId="0" borderId="18" xfId="0" applyNumberFormat="1" applyFont="1" applyFill="1" applyBorder="1" applyAlignment="1">
      <alignment horizontal="center" vertical="center"/>
    </xf>
    <xf numFmtId="2" fontId="73" fillId="0" borderId="18" xfId="0" applyNumberFormat="1" applyFont="1" applyFill="1" applyBorder="1" applyAlignment="1">
      <alignment horizontal="center" vertical="center"/>
    </xf>
    <xf numFmtId="0" fontId="73" fillId="0" borderId="0" xfId="0" applyNumberFormat="1" applyFont="1" applyFill="1" applyAlignment="1">
      <alignment horizontal="center" vertical="center"/>
    </xf>
    <xf numFmtId="0" fontId="72" fillId="0" borderId="18" xfId="0" applyNumberFormat="1" applyFont="1" applyFill="1" applyBorder="1"/>
    <xf numFmtId="2" fontId="73" fillId="0" borderId="19" xfId="0" applyNumberFormat="1" applyFont="1" applyFill="1" applyBorder="1" applyAlignment="1">
      <alignment horizontal="center" vertical="center"/>
    </xf>
    <xf numFmtId="0" fontId="72" fillId="0" borderId="18" xfId="0" applyNumberFormat="1" applyFont="1" applyFill="1" applyBorder="1" applyAlignment="1">
      <alignment horizontal="center" vertical="center"/>
    </xf>
    <xf numFmtId="2" fontId="72" fillId="0" borderId="18" xfId="0" applyNumberFormat="1" applyFont="1" applyFill="1" applyBorder="1" applyAlignment="1">
      <alignment horizontal="center" vertical="center"/>
    </xf>
    <xf numFmtId="2" fontId="72" fillId="0" borderId="18" xfId="0" applyNumberFormat="1" applyFont="1" applyFill="1" applyBorder="1"/>
    <xf numFmtId="0" fontId="73" fillId="0" borderId="0" xfId="0" applyNumberFormat="1" applyFont="1" applyFill="1"/>
    <xf numFmtId="0" fontId="83" fillId="0" borderId="19" xfId="0" applyNumberFormat="1" applyFont="1" applyFill="1" applyBorder="1" applyAlignment="1">
      <alignment vertical="center" wrapText="1"/>
    </xf>
    <xf numFmtId="0" fontId="49" fillId="0" borderId="18" xfId="0" applyNumberFormat="1" applyFont="1" applyFill="1" applyBorder="1" applyAlignment="1">
      <alignment wrapText="1"/>
    </xf>
    <xf numFmtId="178" fontId="49" fillId="0" borderId="18" xfId="0" applyNumberFormat="1" applyFont="1" applyFill="1" applyBorder="1" applyAlignment="1">
      <alignment horizontal="center"/>
    </xf>
    <xf numFmtId="2" fontId="49" fillId="0" borderId="18" xfId="0" applyNumberFormat="1" applyFont="1" applyFill="1" applyBorder="1" applyAlignment="1">
      <alignment horizontal="center"/>
    </xf>
    <xf numFmtId="0" fontId="49" fillId="0" borderId="20" xfId="0" applyNumberFormat="1" applyFont="1" applyFill="1" applyBorder="1" applyAlignment="1">
      <alignment horizontal="center" vertical="center" wrapText="1"/>
    </xf>
    <xf numFmtId="2" fontId="83" fillId="0" borderId="18" xfId="0" applyNumberFormat="1" applyFont="1" applyFill="1" applyBorder="1" applyAlignment="1">
      <alignment wrapText="1"/>
    </xf>
    <xf numFmtId="2" fontId="84" fillId="0" borderId="18" xfId="0" applyNumberFormat="1" applyFont="1" applyFill="1" applyBorder="1" applyAlignment="1">
      <alignment horizontal="center" vertical="center" wrapText="1"/>
    </xf>
    <xf numFmtId="2" fontId="49" fillId="0" borderId="18" xfId="0" applyNumberFormat="1" applyFont="1" applyFill="1" applyBorder="1" applyAlignment="1">
      <alignment wrapText="1"/>
    </xf>
    <xf numFmtId="178" fontId="49" fillId="0" borderId="20" xfId="0" applyNumberFormat="1" applyFont="1" applyFill="1" applyBorder="1" applyAlignment="1">
      <alignment horizontal="center" vertical="center" wrapText="1"/>
    </xf>
    <xf numFmtId="2" fontId="84" fillId="0" borderId="18" xfId="0" applyNumberFormat="1" applyFont="1" applyFill="1" applyBorder="1" applyAlignment="1">
      <alignment wrapText="1"/>
    </xf>
    <xf numFmtId="0" fontId="49" fillId="0" borderId="0" xfId="0" applyNumberFormat="1" applyFont="1" applyFill="1" applyBorder="1" applyAlignment="1">
      <alignment horizontal="center" vertical="center" wrapText="1"/>
    </xf>
    <xf numFmtId="0" fontId="84" fillId="0" borderId="18" xfId="143" applyFont="1" applyFill="1" applyBorder="1" applyAlignment="1">
      <alignment horizontal="center" wrapText="1"/>
    </xf>
    <xf numFmtId="171" fontId="49" fillId="0" borderId="18" xfId="143" applyNumberFormat="1" applyFont="1" applyFill="1" applyBorder="1" applyAlignment="1">
      <alignment horizontal="center" wrapText="1"/>
    </xf>
    <xf numFmtId="170" fontId="49" fillId="0" borderId="18" xfId="143" applyNumberFormat="1" applyFont="1" applyFill="1" applyBorder="1" applyAlignment="1">
      <alignment horizontal="center" wrapText="1"/>
    </xf>
    <xf numFmtId="170" fontId="49" fillId="0" borderId="19" xfId="143" applyNumberFormat="1" applyFont="1" applyFill="1" applyBorder="1" applyAlignment="1">
      <alignment horizontal="center" wrapText="1"/>
    </xf>
    <xf numFmtId="0" fontId="84" fillId="0" borderId="18" xfId="0" applyNumberFormat="1" applyFont="1" applyFill="1" applyBorder="1" applyAlignment="1">
      <alignment horizontal="center" wrapText="1"/>
    </xf>
    <xf numFmtId="2" fontId="84" fillId="0" borderId="19" xfId="0" applyNumberFormat="1" applyFont="1" applyFill="1" applyBorder="1" applyAlignment="1">
      <alignment horizontal="center" wrapText="1"/>
    </xf>
    <xf numFmtId="2" fontId="84" fillId="0" borderId="18" xfId="0" applyNumberFormat="1" applyFont="1" applyFill="1" applyBorder="1" applyAlignment="1">
      <alignment horizontal="left" wrapText="1"/>
    </xf>
    <xf numFmtId="0" fontId="84" fillId="0" borderId="18" xfId="0" applyNumberFormat="1" applyFont="1" applyFill="1" applyBorder="1" applyAlignment="1">
      <alignment horizontal="left" wrapText="1"/>
    </xf>
    <xf numFmtId="0" fontId="49" fillId="0" borderId="18" xfId="0" applyNumberFormat="1" applyFont="1" applyFill="1" applyBorder="1" applyAlignment="1">
      <alignment horizontal="center" wrapText="1"/>
    </xf>
    <xf numFmtId="178" fontId="49" fillId="0" borderId="18" xfId="0" applyNumberFormat="1" applyFont="1" applyFill="1" applyBorder="1" applyAlignment="1">
      <alignment horizontal="center" wrapText="1"/>
    </xf>
    <xf numFmtId="2" fontId="49" fillId="0" borderId="19" xfId="0" applyNumberFormat="1" applyFont="1" applyFill="1" applyBorder="1" applyAlignment="1">
      <alignment horizontal="center" wrapText="1"/>
    </xf>
    <xf numFmtId="2" fontId="49" fillId="0" borderId="18" xfId="0" applyNumberFormat="1" applyFont="1" applyFill="1" applyBorder="1" applyAlignment="1">
      <alignment horizontal="center" wrapText="1"/>
    </xf>
    <xf numFmtId="178" fontId="49" fillId="0" borderId="18" xfId="0" applyNumberFormat="1" applyFont="1" applyFill="1" applyBorder="1" applyAlignment="1">
      <alignment horizontal="left" wrapText="1"/>
    </xf>
    <xf numFmtId="179" fontId="49" fillId="0" borderId="18" xfId="0" applyNumberFormat="1" applyFont="1" applyFill="1" applyBorder="1" applyAlignment="1">
      <alignment horizontal="center" wrapText="1"/>
    </xf>
    <xf numFmtId="178" fontId="49" fillId="0" borderId="18" xfId="143" applyNumberFormat="1" applyFont="1" applyFill="1" applyBorder="1" applyAlignment="1">
      <alignment horizontal="center" vertical="center" wrapText="1"/>
    </xf>
    <xf numFmtId="2" fontId="84" fillId="0" borderId="18" xfId="0" applyNumberFormat="1" applyFont="1" applyFill="1" applyBorder="1" applyAlignment="1">
      <alignment vertical="center"/>
    </xf>
    <xf numFmtId="0" fontId="49" fillId="0" borderId="19" xfId="0" applyNumberFormat="1" applyFont="1" applyFill="1" applyBorder="1" applyAlignment="1">
      <alignment vertical="center"/>
    </xf>
    <xf numFmtId="179" fontId="49" fillId="0" borderId="18" xfId="0" applyNumberFormat="1" applyFont="1" applyFill="1" applyBorder="1" applyAlignment="1">
      <alignment horizontal="center" vertical="center"/>
    </xf>
    <xf numFmtId="0" fontId="85" fillId="0" borderId="18" xfId="0" applyNumberFormat="1" applyFont="1" applyFill="1" applyBorder="1" applyAlignment="1">
      <alignment horizontal="center" vertical="center"/>
    </xf>
    <xf numFmtId="0" fontId="86" fillId="0" borderId="18" xfId="0" applyNumberFormat="1" applyFont="1" applyFill="1" applyBorder="1" applyAlignment="1">
      <alignment horizontal="center" vertical="center" wrapText="1"/>
    </xf>
    <xf numFmtId="2" fontId="85" fillId="0" borderId="18" xfId="0" applyNumberFormat="1" applyFont="1" applyFill="1" applyBorder="1" applyAlignment="1">
      <alignment horizontal="center" vertical="center"/>
    </xf>
    <xf numFmtId="0" fontId="85" fillId="0" borderId="18" xfId="0" applyNumberFormat="1" applyFont="1" applyFill="1" applyBorder="1"/>
    <xf numFmtId="0" fontId="49" fillId="0" borderId="18" xfId="0" quotePrefix="1" applyNumberFormat="1" applyFont="1" applyFill="1" applyBorder="1" applyAlignment="1">
      <alignment vertical="center"/>
    </xf>
    <xf numFmtId="0" fontId="85" fillId="0" borderId="18" xfId="0" applyNumberFormat="1" applyFont="1" applyFill="1" applyBorder="1" applyAlignment="1">
      <alignment horizontal="center" vertical="center" wrapText="1"/>
    </xf>
    <xf numFmtId="0" fontId="85" fillId="0" borderId="18" xfId="143" applyFont="1" applyFill="1" applyBorder="1" applyAlignment="1">
      <alignment horizontal="center" vertical="center" wrapText="1"/>
    </xf>
    <xf numFmtId="0" fontId="86" fillId="0" borderId="18" xfId="143" applyFont="1" applyFill="1" applyBorder="1" applyAlignment="1">
      <alignment horizontal="left" vertical="center" wrapText="1"/>
    </xf>
    <xf numFmtId="171" fontId="85" fillId="0" borderId="18" xfId="143" applyNumberFormat="1" applyFont="1" applyFill="1" applyBorder="1" applyAlignment="1">
      <alignment horizontal="center" vertical="center" wrapText="1"/>
    </xf>
    <xf numFmtId="170" fontId="85" fillId="0" borderId="18" xfId="143" applyNumberFormat="1" applyFont="1" applyFill="1" applyBorder="1" applyAlignment="1">
      <alignment horizontal="center" vertical="center" wrapText="1"/>
    </xf>
    <xf numFmtId="2" fontId="49" fillId="0" borderId="18" xfId="0" applyNumberFormat="1" applyFont="1" applyFill="1" applyBorder="1"/>
    <xf numFmtId="0" fontId="49" fillId="0" borderId="18" xfId="0" applyNumberFormat="1" applyFont="1" applyFill="1" applyBorder="1" applyAlignment="1">
      <alignment horizontal="left" vertical="top" wrapText="1"/>
    </xf>
    <xf numFmtId="2" fontId="49" fillId="0" borderId="18" xfId="0" applyNumberFormat="1" applyFont="1" applyFill="1" applyBorder="1" applyAlignment="1">
      <alignment vertical="center"/>
    </xf>
    <xf numFmtId="2" fontId="49" fillId="0" borderId="18" xfId="0" applyNumberFormat="1" applyFont="1" applyFill="1" applyBorder="1" applyAlignment="1">
      <alignment horizontal="left" vertical="center" wrapText="1"/>
    </xf>
    <xf numFmtId="177" fontId="49" fillId="0" borderId="18" xfId="0" applyNumberFormat="1" applyFont="1" applyFill="1" applyBorder="1" applyAlignment="1">
      <alignment horizontal="center" vertical="center"/>
    </xf>
    <xf numFmtId="2" fontId="49" fillId="0" borderId="19" xfId="0" applyNumberFormat="1" applyFont="1" applyFill="1" applyBorder="1" applyAlignment="1">
      <alignment horizontal="center" vertical="center"/>
    </xf>
    <xf numFmtId="2" fontId="84" fillId="0" borderId="18" xfId="37" applyNumberFormat="1" applyFont="1" applyFill="1" applyBorder="1" applyAlignment="1">
      <alignment vertical="center" wrapText="1"/>
    </xf>
    <xf numFmtId="2" fontId="84" fillId="0" borderId="20" xfId="0" applyNumberFormat="1" applyFont="1" applyFill="1" applyBorder="1" applyAlignment="1">
      <alignment horizontal="center" vertical="center"/>
    </xf>
    <xf numFmtId="0" fontId="85" fillId="0" borderId="18" xfId="143" applyFont="1" applyFill="1" applyBorder="1" applyAlignment="1">
      <alignment horizontal="left" vertical="center" wrapText="1"/>
    </xf>
    <xf numFmtId="170" fontId="86" fillId="0" borderId="18" xfId="143" applyNumberFormat="1" applyFont="1" applyFill="1" applyBorder="1" applyAlignment="1">
      <alignment horizontal="center" vertical="center" wrapText="1"/>
    </xf>
    <xf numFmtId="170" fontId="86" fillId="0" borderId="19" xfId="143" applyNumberFormat="1" applyFont="1" applyFill="1" applyBorder="1" applyAlignment="1">
      <alignment horizontal="center" vertical="center" wrapText="1"/>
    </xf>
    <xf numFmtId="172" fontId="84" fillId="0" borderId="19" xfId="143" applyNumberFormat="1" applyFont="1" applyFill="1" applyBorder="1" applyAlignment="1">
      <alignment horizontal="center" vertical="center" wrapText="1"/>
    </xf>
    <xf numFmtId="173" fontId="49" fillId="0" borderId="18" xfId="0" applyNumberFormat="1" applyFont="1" applyFill="1" applyBorder="1" applyAlignment="1">
      <alignment horizontal="center" vertical="center"/>
    </xf>
    <xf numFmtId="170" fontId="84" fillId="0" borderId="18" xfId="0" applyFont="1" applyFill="1" applyBorder="1" applyAlignment="1">
      <alignment horizontal="left" vertical="center" wrapText="1"/>
    </xf>
    <xf numFmtId="171" fontId="49" fillId="0" borderId="18" xfId="0" applyNumberFormat="1" applyFont="1" applyFill="1" applyBorder="1" applyAlignment="1">
      <alignment horizontal="center"/>
    </xf>
    <xf numFmtId="170" fontId="49" fillId="0" borderId="18" xfId="0" applyFont="1" applyFill="1" applyBorder="1" applyAlignment="1">
      <alignment horizontal="left" vertical="center"/>
    </xf>
    <xf numFmtId="171" fontId="49" fillId="0" borderId="18" xfId="0" applyNumberFormat="1" applyFont="1" applyFill="1" applyBorder="1" applyAlignment="1">
      <alignment horizontal="center" vertical="center"/>
    </xf>
    <xf numFmtId="170" fontId="49" fillId="0" borderId="20" xfId="0" applyNumberFormat="1" applyFont="1" applyFill="1" applyBorder="1" applyAlignment="1">
      <alignment horizontal="center" vertical="center"/>
    </xf>
    <xf numFmtId="170" fontId="84" fillId="0" borderId="18" xfId="0" applyFont="1" applyFill="1" applyBorder="1" applyAlignment="1">
      <alignment horizontal="left"/>
    </xf>
    <xf numFmtId="170" fontId="49" fillId="0" borderId="19" xfId="0" applyNumberFormat="1" applyFont="1" applyFill="1" applyBorder="1" applyAlignment="1">
      <alignment horizontal="center" vertical="center"/>
    </xf>
    <xf numFmtId="170" fontId="84" fillId="0" borderId="19" xfId="0" applyNumberFormat="1" applyFont="1" applyFill="1" applyBorder="1" applyAlignment="1">
      <alignment horizontal="center" vertical="center"/>
    </xf>
    <xf numFmtId="170" fontId="48" fillId="0" borderId="18" xfId="0" applyFont="1" applyFill="1" applyBorder="1" applyAlignment="1">
      <alignment vertical="center" wrapText="1"/>
    </xf>
    <xf numFmtId="171" fontId="48" fillId="0" borderId="18" xfId="0" applyNumberFormat="1" applyFont="1" applyFill="1" applyBorder="1" applyAlignment="1">
      <alignment horizontal="center" vertical="center"/>
    </xf>
    <xf numFmtId="2" fontId="48" fillId="0" borderId="18" xfId="0" applyNumberFormat="1" applyFont="1" applyFill="1" applyBorder="1" applyAlignment="1">
      <alignment horizontal="center" vertical="center"/>
    </xf>
    <xf numFmtId="178" fontId="48" fillId="0" borderId="18" xfId="0" applyNumberFormat="1" applyFont="1" applyFill="1" applyBorder="1" applyAlignment="1">
      <alignment horizontal="center" vertical="center"/>
    </xf>
    <xf numFmtId="2" fontId="48" fillId="0" borderId="18" xfId="0" applyNumberFormat="1" applyFont="1" applyFill="1" applyBorder="1" applyAlignment="1">
      <alignment vertical="center"/>
    </xf>
    <xf numFmtId="173" fontId="48" fillId="0" borderId="18" xfId="0" applyNumberFormat="1" applyFont="1" applyFill="1" applyBorder="1" applyAlignment="1">
      <alignment horizontal="center" vertical="center"/>
    </xf>
    <xf numFmtId="170" fontId="47" fillId="0" borderId="18" xfId="0" applyFont="1" applyFill="1" applyBorder="1" applyAlignment="1">
      <alignment vertical="center" wrapText="1"/>
    </xf>
    <xf numFmtId="0" fontId="86" fillId="0" borderId="18" xfId="0" applyNumberFormat="1" applyFont="1" applyFill="1" applyBorder="1" applyAlignment="1">
      <alignment horizontal="center" vertical="center"/>
    </xf>
    <xf numFmtId="170" fontId="85" fillId="0" borderId="18" xfId="0" applyFont="1" applyFill="1" applyBorder="1" applyAlignment="1">
      <alignment horizontal="center"/>
    </xf>
    <xf numFmtId="172" fontId="49" fillId="0" borderId="18" xfId="0" applyNumberFormat="1" applyFont="1" applyFill="1" applyBorder="1" applyAlignment="1">
      <alignment horizontal="center" vertical="center"/>
    </xf>
    <xf numFmtId="0" fontId="85" fillId="0" borderId="18" xfId="0" applyNumberFormat="1" applyFont="1" applyFill="1" applyBorder="1" applyAlignment="1">
      <alignment horizontal="left" wrapText="1"/>
    </xf>
    <xf numFmtId="0" fontId="85" fillId="0" borderId="18" xfId="0" applyNumberFormat="1" applyFont="1" applyFill="1" applyBorder="1" applyAlignment="1">
      <alignment horizontal="center"/>
    </xf>
    <xf numFmtId="170" fontId="85" fillId="0" borderId="18" xfId="0" applyNumberFormat="1" applyFont="1" applyFill="1" applyBorder="1" applyAlignment="1">
      <alignment horizontal="center"/>
    </xf>
    <xf numFmtId="170" fontId="85" fillId="0" borderId="19" xfId="0" applyNumberFormat="1" applyFont="1" applyFill="1" applyBorder="1" applyAlignment="1">
      <alignment horizontal="center" vertical="center"/>
    </xf>
    <xf numFmtId="178" fontId="85" fillId="0" borderId="18" xfId="0" applyNumberFormat="1" applyFont="1" applyFill="1" applyBorder="1" applyAlignment="1">
      <alignment horizontal="center" vertical="center"/>
    </xf>
    <xf numFmtId="178" fontId="84" fillId="0" borderId="18" xfId="0" applyNumberFormat="1" applyFont="1" applyFill="1" applyBorder="1" applyAlignment="1">
      <alignment horizontal="center" vertical="center"/>
    </xf>
    <xf numFmtId="2" fontId="85" fillId="0" borderId="19" xfId="0" applyNumberFormat="1" applyFont="1" applyFill="1" applyBorder="1" applyAlignment="1">
      <alignment horizontal="center" vertical="center"/>
    </xf>
    <xf numFmtId="0" fontId="85" fillId="0" borderId="18" xfId="0" applyNumberFormat="1" applyFont="1" applyFill="1" applyBorder="1" applyAlignment="1">
      <alignment vertical="center"/>
    </xf>
    <xf numFmtId="0" fontId="49" fillId="0" borderId="18" xfId="0" quotePrefix="1" applyNumberFormat="1" applyFont="1" applyFill="1" applyBorder="1" applyAlignment="1">
      <alignment vertical="center" wrapText="1"/>
    </xf>
    <xf numFmtId="170" fontId="47" fillId="0" borderId="18" xfId="0" applyFont="1" applyFill="1" applyBorder="1" applyAlignment="1">
      <alignment horizontal="right" vertical="center" wrapText="1"/>
    </xf>
    <xf numFmtId="170" fontId="84" fillId="0" borderId="20" xfId="0" applyNumberFormat="1" applyFont="1" applyFill="1" applyBorder="1" applyAlignment="1">
      <alignment horizontal="center" vertical="center"/>
    </xf>
    <xf numFmtId="170" fontId="47" fillId="0" borderId="19" xfId="0" applyFont="1" applyFill="1" applyBorder="1" applyAlignment="1">
      <alignment horizontal="right" vertical="center" wrapText="1"/>
    </xf>
    <xf numFmtId="178" fontId="49" fillId="0" borderId="19" xfId="0" applyNumberFormat="1" applyFont="1" applyFill="1" applyBorder="1" applyAlignment="1">
      <alignment horizontal="center" vertical="center" wrapText="1"/>
    </xf>
    <xf numFmtId="177" fontId="86" fillId="0" borderId="18" xfId="0" applyNumberFormat="1" applyFont="1" applyFill="1" applyBorder="1" applyAlignment="1">
      <alignment horizontal="center" vertical="center"/>
    </xf>
    <xf numFmtId="1" fontId="85" fillId="0" borderId="18" xfId="0" applyNumberFormat="1" applyFont="1" applyFill="1" applyBorder="1" applyAlignment="1">
      <alignment horizontal="center"/>
    </xf>
    <xf numFmtId="170" fontId="86" fillId="0" borderId="19" xfId="0" applyNumberFormat="1" applyFont="1" applyFill="1" applyBorder="1" applyAlignment="1">
      <alignment horizontal="center" vertical="center"/>
    </xf>
    <xf numFmtId="0" fontId="86" fillId="0" borderId="18" xfId="0" applyNumberFormat="1" applyFont="1" applyFill="1" applyBorder="1" applyAlignment="1">
      <alignment horizontal="left" vertical="center" wrapText="1"/>
    </xf>
    <xf numFmtId="1" fontId="85" fillId="0" borderId="18" xfId="0" applyNumberFormat="1" applyFont="1" applyFill="1" applyBorder="1" applyAlignment="1">
      <alignment horizontal="center" vertical="center"/>
    </xf>
    <xf numFmtId="170" fontId="85" fillId="0" borderId="18" xfId="0" applyNumberFormat="1" applyFont="1" applyFill="1" applyBorder="1" applyAlignment="1">
      <alignment horizontal="center" vertical="center"/>
    </xf>
    <xf numFmtId="170" fontId="86" fillId="0" borderId="18" xfId="0" applyFont="1" applyFill="1" applyBorder="1" applyAlignment="1">
      <alignment horizontal="center" vertical="center"/>
    </xf>
    <xf numFmtId="170" fontId="49" fillId="0" borderId="18" xfId="0" quotePrefix="1" applyFont="1" applyFill="1" applyBorder="1" applyAlignment="1">
      <alignment horizontal="center"/>
    </xf>
    <xf numFmtId="0" fontId="86" fillId="0" borderId="18" xfId="0" applyNumberFormat="1" applyFont="1" applyFill="1" applyBorder="1" applyAlignment="1">
      <alignment horizontal="left" wrapText="1"/>
    </xf>
    <xf numFmtId="2" fontId="49" fillId="0" borderId="18" xfId="145" applyNumberFormat="1" applyFont="1" applyFill="1" applyBorder="1" applyAlignment="1">
      <alignment horizontal="left" vertical="top" wrapText="1"/>
    </xf>
    <xf numFmtId="173" fontId="48" fillId="0" borderId="18" xfId="0" applyNumberFormat="1" applyFont="1" applyFill="1" applyBorder="1" applyAlignment="1">
      <alignment horizontal="center" vertical="center" wrapText="1"/>
    </xf>
    <xf numFmtId="0" fontId="49" fillId="0" borderId="18" xfId="143" applyFont="1" applyFill="1" applyBorder="1" applyAlignment="1">
      <alignment vertical="center" wrapText="1"/>
    </xf>
    <xf numFmtId="170" fontId="49" fillId="0" borderId="18" xfId="0" applyFont="1" applyFill="1" applyBorder="1" applyAlignment="1">
      <alignment horizontal="left" vertical="center" wrapText="1"/>
    </xf>
    <xf numFmtId="170" fontId="49" fillId="0" borderId="18" xfId="0" applyFont="1" applyFill="1" applyBorder="1" applyAlignment="1">
      <alignment horizontal="left"/>
    </xf>
    <xf numFmtId="170" fontId="49" fillId="0" borderId="18" xfId="0" applyFont="1" applyFill="1" applyBorder="1" applyAlignment="1">
      <alignment horizontal="left" wrapText="1"/>
    </xf>
    <xf numFmtId="170" fontId="84" fillId="0" borderId="18" xfId="0" applyFont="1" applyFill="1" applyBorder="1" applyAlignment="1">
      <alignment horizontal="center" vertical="center" wrapText="1"/>
    </xf>
    <xf numFmtId="171" fontId="84" fillId="0" borderId="18" xfId="0" applyNumberFormat="1" applyFont="1" applyFill="1" applyBorder="1" applyAlignment="1">
      <alignment horizontal="center"/>
    </xf>
    <xf numFmtId="171" fontId="84" fillId="0" borderId="18" xfId="143" applyNumberFormat="1" applyFont="1" applyFill="1" applyBorder="1" applyAlignment="1">
      <alignment horizontal="center" vertical="center" wrapText="1"/>
    </xf>
    <xf numFmtId="171" fontId="86" fillId="0" borderId="18" xfId="143" applyNumberFormat="1" applyFont="1" applyFill="1" applyBorder="1" applyAlignment="1">
      <alignment horizontal="center" vertical="center" wrapText="1"/>
    </xf>
    <xf numFmtId="170" fontId="85" fillId="0" borderId="19" xfId="143" applyNumberFormat="1" applyFont="1" applyFill="1" applyBorder="1" applyAlignment="1">
      <alignment horizontal="center" vertical="center" wrapText="1"/>
    </xf>
    <xf numFmtId="0" fontId="86" fillId="0" borderId="18" xfId="143" applyFont="1" applyFill="1" applyBorder="1" applyAlignment="1">
      <alignment horizontal="center" vertical="center" wrapText="1"/>
    </xf>
    <xf numFmtId="170" fontId="86" fillId="0" borderId="20" xfId="143" applyNumberFormat="1" applyFont="1" applyFill="1" applyBorder="1" applyAlignment="1">
      <alignment horizontal="center" vertical="center" wrapText="1"/>
    </xf>
    <xf numFmtId="170" fontId="86" fillId="0" borderId="18" xfId="0" applyFont="1" applyFill="1" applyBorder="1" applyAlignment="1">
      <alignment horizontal="center"/>
    </xf>
    <xf numFmtId="173" fontId="84" fillId="0" borderId="18" xfId="0" applyNumberFormat="1" applyFont="1" applyFill="1" applyBorder="1" applyAlignment="1">
      <alignment horizontal="center" vertical="center"/>
    </xf>
    <xf numFmtId="170" fontId="49" fillId="0" borderId="19" xfId="0" applyNumberFormat="1" applyFont="1" applyFill="1" applyBorder="1" applyAlignment="1">
      <alignment vertical="center" wrapText="1"/>
    </xf>
    <xf numFmtId="170" fontId="49" fillId="0" borderId="20" xfId="0" applyNumberFormat="1" applyFont="1" applyFill="1" applyBorder="1" applyAlignment="1">
      <alignment horizontal="center" vertical="center" wrapText="1"/>
    </xf>
    <xf numFmtId="172" fontId="84" fillId="0" borderId="19" xfId="0" applyNumberFormat="1" applyFont="1" applyFill="1" applyBorder="1" applyAlignment="1">
      <alignment horizontal="center" vertical="center"/>
    </xf>
    <xf numFmtId="171" fontId="49" fillId="0" borderId="19" xfId="143" applyNumberFormat="1" applyFont="1" applyFill="1" applyBorder="1" applyAlignment="1">
      <alignment horizontal="center" vertical="center" wrapText="1"/>
    </xf>
    <xf numFmtId="0" fontId="84" fillId="0" borderId="19" xfId="0" applyNumberFormat="1" applyFont="1" applyFill="1" applyBorder="1" applyAlignment="1">
      <alignment vertical="center"/>
    </xf>
    <xf numFmtId="0" fontId="84" fillId="0" borderId="19" xfId="0" applyNumberFormat="1" applyFont="1" applyFill="1" applyBorder="1" applyAlignment="1">
      <alignment horizontal="center" vertical="center"/>
    </xf>
    <xf numFmtId="172" fontId="47" fillId="0" borderId="18" xfId="0" applyNumberFormat="1" applyFont="1" applyFill="1" applyBorder="1" applyAlignment="1">
      <alignment horizontal="center" vertical="center" wrapText="1"/>
    </xf>
    <xf numFmtId="170" fontId="49" fillId="0" borderId="18" xfId="0" applyNumberFormat="1" applyFont="1" applyFill="1" applyBorder="1" applyAlignment="1">
      <alignment vertical="center"/>
    </xf>
    <xf numFmtId="170" fontId="49" fillId="0" borderId="18" xfId="0" applyFont="1" applyFill="1" applyBorder="1"/>
    <xf numFmtId="170" fontId="49" fillId="0" borderId="18" xfId="0" applyNumberFormat="1" applyFont="1" applyFill="1" applyBorder="1"/>
    <xf numFmtId="170" fontId="84" fillId="0" borderId="19" xfId="0" applyNumberFormat="1" applyFont="1" applyFill="1" applyBorder="1" applyAlignment="1">
      <alignment horizontal="right" vertical="center"/>
    </xf>
    <xf numFmtId="170" fontId="84" fillId="0" borderId="18" xfId="0" applyFont="1" applyFill="1" applyBorder="1" applyAlignment="1">
      <alignment vertical="center"/>
    </xf>
    <xf numFmtId="170" fontId="49" fillId="0" borderId="18" xfId="0" applyFont="1" applyFill="1" applyBorder="1" applyAlignment="1">
      <alignment vertical="center"/>
    </xf>
    <xf numFmtId="170" fontId="85" fillId="0" borderId="18" xfId="0" applyFont="1" applyFill="1" applyBorder="1"/>
    <xf numFmtId="170" fontId="85" fillId="0" borderId="18" xfId="0" applyFont="1" applyFill="1" applyBorder="1" applyAlignment="1">
      <alignment vertical="center"/>
    </xf>
    <xf numFmtId="170" fontId="86" fillId="0" borderId="18" xfId="0" applyNumberFormat="1" applyFont="1" applyFill="1" applyBorder="1" applyAlignment="1">
      <alignment horizontal="center" vertical="center"/>
    </xf>
    <xf numFmtId="170" fontId="49" fillId="0" borderId="18" xfId="0" applyFont="1" applyFill="1" applyBorder="1" applyAlignment="1">
      <alignment vertical="center" wrapText="1"/>
    </xf>
    <xf numFmtId="0" fontId="49" fillId="0" borderId="18" xfId="87" applyFont="1" applyFill="1" applyBorder="1" applyAlignment="1">
      <alignment horizontal="center" vertical="top"/>
    </xf>
    <xf numFmtId="0" fontId="84" fillId="0" borderId="18" xfId="87" applyFont="1" applyFill="1" applyBorder="1" applyAlignment="1">
      <alignment horizontal="justify" vertical="top" wrapText="1"/>
    </xf>
    <xf numFmtId="0" fontId="84" fillId="0" borderId="18" xfId="87" applyFont="1" applyFill="1" applyBorder="1" applyAlignment="1">
      <alignment horizontal="justify" vertical="justify" wrapText="1"/>
    </xf>
    <xf numFmtId="170" fontId="49" fillId="0" borderId="18" xfId="1243" applyNumberFormat="1" applyFont="1" applyFill="1" applyBorder="1" applyAlignment="1">
      <alignment horizontal="center"/>
    </xf>
    <xf numFmtId="170" fontId="49" fillId="0" borderId="18" xfId="1243" applyNumberFormat="1" applyFont="1" applyFill="1" applyBorder="1" applyAlignment="1">
      <alignment horizontal="center" vertical="center"/>
    </xf>
    <xf numFmtId="0" fontId="15" fillId="0" borderId="44" xfId="86" applyFont="1" applyFill="1" applyBorder="1" applyAlignment="1" applyProtection="1">
      <alignment horizontal="left" wrapText="1"/>
    </xf>
    <xf numFmtId="0" fontId="16" fillId="0" borderId="44" xfId="86" applyFont="1" applyFill="1" applyBorder="1" applyAlignment="1" applyProtection="1">
      <alignment horizontal="left" wrapText="1"/>
    </xf>
    <xf numFmtId="0" fontId="16" fillId="0" borderId="44" xfId="86" applyFont="1" applyFill="1" applyBorder="1" applyAlignment="1">
      <alignment horizontal="left" wrapText="1"/>
    </xf>
    <xf numFmtId="49" fontId="15" fillId="0" borderId="44" xfId="86" applyNumberFormat="1" applyFont="1" applyFill="1" applyBorder="1" applyAlignment="1">
      <alignment horizontal="left" vertical="top" wrapText="1"/>
    </xf>
    <xf numFmtId="49" fontId="16" fillId="0" borderId="44" xfId="86" applyNumberFormat="1" applyFont="1" applyFill="1" applyBorder="1" applyAlignment="1">
      <alignment horizontal="left" vertical="top" wrapText="1"/>
    </xf>
    <xf numFmtId="0" fontId="15" fillId="0" borderId="44" xfId="86" applyFont="1" applyFill="1" applyBorder="1" applyAlignment="1">
      <alignment horizontal="left" vertical="justify" wrapText="1"/>
    </xf>
    <xf numFmtId="1" fontId="49" fillId="0" borderId="18" xfId="140" applyNumberFormat="1" applyFont="1" applyFill="1" applyBorder="1" applyAlignment="1">
      <alignment horizontal="center" vertical="center" wrapText="1"/>
    </xf>
    <xf numFmtId="2" fontId="49" fillId="0" borderId="18" xfId="141" applyNumberFormat="1" applyFont="1" applyFill="1" applyBorder="1" applyAlignment="1">
      <alignment horizontal="left" vertical="center"/>
    </xf>
    <xf numFmtId="0" fontId="49" fillId="0" borderId="18" xfId="141" applyFont="1" applyFill="1" applyBorder="1" applyAlignment="1">
      <alignment horizontal="center" vertical="center" wrapText="1"/>
    </xf>
    <xf numFmtId="0" fontId="49" fillId="0" borderId="19" xfId="141" applyFont="1" applyFill="1" applyBorder="1" applyAlignment="1">
      <alignment horizontal="center" vertical="center" wrapText="1"/>
    </xf>
    <xf numFmtId="170" fontId="49" fillId="0" borderId="18" xfId="142" applyFont="1" applyFill="1" applyBorder="1" applyAlignment="1">
      <alignment horizontal="left" vertical="center" wrapText="1"/>
    </xf>
    <xf numFmtId="170" fontId="49" fillId="0" borderId="0" xfId="0" applyFont="1" applyFill="1"/>
    <xf numFmtId="170" fontId="49" fillId="0" borderId="0" xfId="0" applyNumberFormat="1" applyFont="1" applyFill="1"/>
    <xf numFmtId="170" fontId="49" fillId="0" borderId="0" xfId="0" applyNumberFormat="1" applyFont="1" applyFill="1" applyBorder="1" applyAlignment="1">
      <alignment horizontal="right"/>
    </xf>
    <xf numFmtId="170" fontId="49" fillId="0" borderId="0" xfId="0" applyFont="1" applyFill="1" applyBorder="1"/>
    <xf numFmtId="170" fontId="84" fillId="0" borderId="0" xfId="139" applyFont="1" applyFill="1" applyAlignment="1">
      <alignment vertical="center"/>
    </xf>
    <xf numFmtId="170" fontId="49" fillId="0" borderId="0" xfId="139" applyFont="1" applyFill="1"/>
    <xf numFmtId="170" fontId="49" fillId="0" borderId="0" xfId="0" applyNumberFormat="1" applyFont="1" applyFill="1" applyAlignment="1">
      <alignment horizontal="right"/>
    </xf>
    <xf numFmtId="0" fontId="52" fillId="0" borderId="0" xfId="0" applyNumberFormat="1" applyFont="1" applyFill="1" applyBorder="1" applyAlignment="1">
      <alignment vertical="center" wrapText="1"/>
    </xf>
    <xf numFmtId="177" fontId="49" fillId="0" borderId="18" xfId="0" applyNumberFormat="1" applyFont="1" applyFill="1" applyBorder="1" applyAlignment="1">
      <alignment horizontal="center" vertical="center" wrapText="1"/>
    </xf>
    <xf numFmtId="170" fontId="49" fillId="0" borderId="19" xfId="0" applyNumberFormat="1" applyFont="1" applyFill="1" applyBorder="1" applyAlignment="1">
      <alignment horizontal="center" vertical="center"/>
    </xf>
    <xf numFmtId="170" fontId="49" fillId="0" borderId="20" xfId="0" applyNumberFormat="1" applyFont="1" applyFill="1" applyBorder="1" applyAlignment="1">
      <alignment horizontal="center" vertical="center"/>
    </xf>
    <xf numFmtId="170" fontId="84" fillId="0" borderId="19" xfId="143" applyNumberFormat="1" applyFont="1" applyFill="1" applyBorder="1" applyAlignment="1">
      <alignment horizontal="center" vertical="center" wrapText="1"/>
    </xf>
    <xf numFmtId="170" fontId="84" fillId="0" borderId="20" xfId="143" applyNumberFormat="1" applyFont="1" applyFill="1" applyBorder="1" applyAlignment="1">
      <alignment horizontal="center" vertical="center" wrapText="1"/>
    </xf>
    <xf numFmtId="170" fontId="84" fillId="0" borderId="19" xfId="0" applyNumberFormat="1" applyFont="1" applyFill="1" applyBorder="1" applyAlignment="1">
      <alignment horizontal="center" vertical="center" wrapText="1"/>
    </xf>
    <xf numFmtId="170" fontId="84" fillId="0" borderId="20" xfId="0" applyNumberFormat="1" applyFont="1" applyFill="1" applyBorder="1" applyAlignment="1">
      <alignment horizontal="center" vertical="center" wrapText="1"/>
    </xf>
    <xf numFmtId="170" fontId="49" fillId="0" borderId="19" xfId="0" applyNumberFormat="1" applyFont="1" applyFill="1" applyBorder="1" applyAlignment="1">
      <alignment horizontal="center"/>
    </xf>
    <xf numFmtId="170" fontId="49" fillId="0" borderId="20" xfId="0" applyNumberFormat="1" applyFont="1" applyFill="1" applyBorder="1" applyAlignment="1">
      <alignment horizontal="center"/>
    </xf>
    <xf numFmtId="170" fontId="84" fillId="0" borderId="19" xfId="0" applyNumberFormat="1" applyFont="1" applyFill="1" applyBorder="1" applyAlignment="1">
      <alignment horizontal="center" vertical="center"/>
    </xf>
    <xf numFmtId="170" fontId="84" fillId="0" borderId="20" xfId="0" applyNumberFormat="1" applyFont="1" applyFill="1" applyBorder="1" applyAlignment="1">
      <alignment horizontal="center" vertical="center"/>
    </xf>
    <xf numFmtId="170" fontId="49" fillId="0" borderId="19" xfId="143" applyNumberFormat="1" applyFont="1" applyFill="1" applyBorder="1" applyAlignment="1">
      <alignment horizontal="center" vertical="center" wrapText="1"/>
    </xf>
    <xf numFmtId="170" fontId="49" fillId="0" borderId="20" xfId="143" applyNumberFormat="1" applyFont="1" applyFill="1" applyBorder="1" applyAlignment="1">
      <alignment horizontal="center" vertical="center" wrapText="1"/>
    </xf>
    <xf numFmtId="2" fontId="84" fillId="0" borderId="19" xfId="0" applyNumberFormat="1" applyFont="1" applyFill="1" applyBorder="1" applyAlignment="1">
      <alignment horizontal="center" vertical="center"/>
    </xf>
    <xf numFmtId="2" fontId="84" fillId="0" borderId="20" xfId="0" applyNumberFormat="1" applyFont="1" applyFill="1" applyBorder="1" applyAlignment="1">
      <alignment horizontal="center" vertical="center"/>
    </xf>
    <xf numFmtId="170" fontId="84" fillId="0" borderId="0" xfId="139" applyFont="1" applyFill="1" applyAlignment="1">
      <alignment horizontal="center" vertical="center"/>
    </xf>
    <xf numFmtId="2" fontId="84" fillId="0" borderId="19" xfId="0" applyNumberFormat="1" applyFont="1" applyFill="1" applyBorder="1" applyAlignment="1">
      <alignment horizontal="center" vertical="center" wrapText="1"/>
    </xf>
    <xf numFmtId="2" fontId="84" fillId="0" borderId="20" xfId="0" applyNumberFormat="1" applyFont="1" applyFill="1" applyBorder="1" applyAlignment="1">
      <alignment horizontal="center" vertical="center" wrapText="1"/>
    </xf>
    <xf numFmtId="2" fontId="49" fillId="0" borderId="19" xfId="0" applyNumberFormat="1" applyFont="1" applyFill="1" applyBorder="1" applyAlignment="1">
      <alignment horizontal="center" vertical="center"/>
    </xf>
    <xf numFmtId="2" fontId="49" fillId="0" borderId="20" xfId="0" applyNumberFormat="1" applyFont="1" applyFill="1" applyBorder="1" applyAlignment="1">
      <alignment horizontal="center" vertical="center"/>
    </xf>
    <xf numFmtId="170" fontId="84" fillId="0" borderId="18" xfId="143" applyNumberFormat="1" applyFont="1" applyFill="1" applyBorder="1" applyAlignment="1">
      <alignment horizontal="center" vertical="center" wrapText="1"/>
    </xf>
    <xf numFmtId="170" fontId="49" fillId="0" borderId="19" xfId="0" applyNumberFormat="1" applyFont="1" applyFill="1" applyBorder="1" applyAlignment="1">
      <alignment horizontal="center" vertical="center" wrapText="1"/>
    </xf>
    <xf numFmtId="170" fontId="49" fillId="0" borderId="20" xfId="0" applyNumberFormat="1" applyFont="1" applyFill="1" applyBorder="1" applyAlignment="1">
      <alignment horizontal="center" vertical="center" wrapText="1"/>
    </xf>
    <xf numFmtId="170" fontId="47" fillId="0" borderId="0" xfId="0" applyFont="1" applyFill="1" applyAlignment="1">
      <alignment horizontal="center" vertical="center"/>
    </xf>
    <xf numFmtId="172" fontId="84" fillId="0" borderId="19" xfId="143" applyNumberFormat="1" applyFont="1" applyFill="1" applyBorder="1" applyAlignment="1">
      <alignment horizontal="center" vertical="center" wrapText="1"/>
    </xf>
    <xf numFmtId="172" fontId="84" fillId="0" borderId="18" xfId="143" applyNumberFormat="1" applyFont="1" applyFill="1" applyBorder="1" applyAlignment="1">
      <alignment horizontal="center" vertical="center" wrapText="1"/>
    </xf>
    <xf numFmtId="0" fontId="47" fillId="0" borderId="0" xfId="143" applyFont="1" applyFill="1" applyBorder="1" applyAlignment="1">
      <alignment horizontal="left" vertical="center" wrapText="1"/>
    </xf>
    <xf numFmtId="0" fontId="47" fillId="0" borderId="21" xfId="143" applyFont="1" applyFill="1" applyBorder="1" applyAlignment="1">
      <alignment horizontal="left" vertical="center" wrapText="1"/>
    </xf>
    <xf numFmtId="0" fontId="47" fillId="0" borderId="0" xfId="143" applyFont="1" applyFill="1" applyBorder="1" applyAlignment="1">
      <alignment horizontal="center" vertical="center" wrapText="1"/>
    </xf>
    <xf numFmtId="0" fontId="84" fillId="0" borderId="18" xfId="143" applyFont="1" applyFill="1" applyBorder="1" applyAlignment="1">
      <alignment horizontal="center" vertical="center" wrapText="1"/>
    </xf>
    <xf numFmtId="171" fontId="84" fillId="0" borderId="18" xfId="143" applyNumberFormat="1" applyFont="1" applyFill="1" applyBorder="1" applyAlignment="1">
      <alignment horizontal="center" vertical="center" wrapText="1"/>
    </xf>
    <xf numFmtId="170" fontId="63" fillId="0" borderId="0" xfId="0" applyFont="1" applyAlignment="1">
      <alignment horizontal="center" vertical="center"/>
    </xf>
    <xf numFmtId="0" fontId="76" fillId="0" borderId="18" xfId="1242" applyFont="1" applyBorder="1" applyAlignment="1">
      <alignment horizontal="center"/>
    </xf>
    <xf numFmtId="0" fontId="76" fillId="0" borderId="19" xfId="1242" applyFont="1" applyBorder="1" applyAlignment="1">
      <alignment horizontal="center"/>
    </xf>
    <xf numFmtId="0" fontId="76" fillId="0" borderId="20" xfId="1242" applyFont="1" applyBorder="1" applyAlignment="1">
      <alignment horizontal="center"/>
    </xf>
    <xf numFmtId="0" fontId="75" fillId="0" borderId="19" xfId="1242" applyFont="1" applyBorder="1" applyAlignment="1">
      <alignment horizontal="center" wrapText="1"/>
    </xf>
    <xf numFmtId="0" fontId="75" fillId="0" borderId="27" xfId="1242" applyFont="1" applyBorder="1" applyAlignment="1">
      <alignment horizontal="center" wrapText="1"/>
    </xf>
    <xf numFmtId="0" fontId="75" fillId="0" borderId="20" xfId="1242" applyFont="1" applyBorder="1" applyAlignment="1">
      <alignment horizontal="center" wrapText="1"/>
    </xf>
    <xf numFmtId="0" fontId="77" fillId="0" borderId="18" xfId="1242" applyFont="1" applyBorder="1" applyAlignment="1">
      <alignment horizontal="center"/>
    </xf>
    <xf numFmtId="0" fontId="75" fillId="0" borderId="18" xfId="1242" applyFont="1" applyBorder="1" applyAlignment="1">
      <alignment horizontal="center"/>
    </xf>
    <xf numFmtId="0" fontId="75" fillId="0" borderId="18" xfId="0" applyNumberFormat="1" applyFont="1" applyBorder="1" applyAlignment="1">
      <alignment horizontal="center"/>
    </xf>
    <xf numFmtId="0" fontId="75" fillId="0" borderId="0" xfId="0" applyNumberFormat="1" applyFont="1" applyAlignment="1">
      <alignment horizontal="center" wrapText="1"/>
    </xf>
    <xf numFmtId="0" fontId="75" fillId="0" borderId="3" xfId="0" applyNumberFormat="1" applyFont="1" applyBorder="1" applyAlignment="1">
      <alignment horizontal="center"/>
    </xf>
    <xf numFmtId="170" fontId="50" fillId="0" borderId="0" xfId="139" applyFont="1" applyAlignment="1">
      <alignment horizontal="center" vertical="center"/>
    </xf>
    <xf numFmtId="2" fontId="52" fillId="0" borderId="18" xfId="145" applyNumberFormat="1" applyFont="1" applyFill="1" applyBorder="1" applyAlignment="1">
      <alignment horizontal="left" vertical="center" wrapText="1"/>
    </xf>
    <xf numFmtId="2" fontId="54" fillId="0" borderId="18" xfId="145" applyNumberFormat="1" applyFont="1" applyFill="1" applyBorder="1" applyAlignment="1">
      <alignment horizontal="left" vertical="center" wrapText="1"/>
    </xf>
    <xf numFmtId="1" fontId="54" fillId="0" borderId="0" xfId="144" applyNumberFormat="1" applyFont="1" applyFill="1" applyBorder="1" applyAlignment="1">
      <alignment horizontal="center" vertical="center"/>
    </xf>
    <xf numFmtId="1" fontId="54" fillId="0" borderId="0" xfId="144" applyNumberFormat="1" applyFont="1" applyFill="1" applyBorder="1" applyAlignment="1">
      <alignment horizontal="left" vertical="center" wrapText="1"/>
    </xf>
    <xf numFmtId="170" fontId="63" fillId="0" borderId="0" xfId="144" applyNumberFormat="1" applyFont="1" applyFill="1" applyBorder="1" applyAlignment="1">
      <alignment horizontal="center" vertical="center"/>
    </xf>
    <xf numFmtId="1" fontId="54" fillId="0" borderId="28" xfId="144" applyNumberFormat="1" applyFont="1" applyFill="1" applyBorder="1" applyAlignment="1">
      <alignment horizontal="center" vertical="center" wrapText="1"/>
    </xf>
    <xf numFmtId="1" fontId="54" fillId="0" borderId="34" xfId="144" applyNumberFormat="1" applyFont="1" applyFill="1" applyBorder="1" applyAlignment="1">
      <alignment horizontal="center" vertical="center" wrapText="1"/>
    </xf>
    <xf numFmtId="0" fontId="54" fillId="0" borderId="29" xfId="144" applyNumberFormat="1" applyFont="1" applyFill="1" applyBorder="1" applyAlignment="1">
      <alignment horizontal="center" vertical="center"/>
    </xf>
    <xf numFmtId="0" fontId="54" fillId="0" borderId="6" xfId="144" applyNumberFormat="1" applyFont="1" applyFill="1" applyBorder="1" applyAlignment="1">
      <alignment horizontal="center" vertical="center"/>
    </xf>
    <xf numFmtId="0" fontId="54" fillId="0" borderId="30" xfId="144" applyNumberFormat="1" applyFont="1" applyFill="1" applyBorder="1" applyAlignment="1">
      <alignment horizontal="center" vertical="center"/>
    </xf>
    <xf numFmtId="0" fontId="54" fillId="0" borderId="35" xfId="144" applyNumberFormat="1" applyFont="1" applyFill="1" applyBorder="1" applyAlignment="1">
      <alignment horizontal="center" vertical="center"/>
    </xf>
    <xf numFmtId="0" fontId="54" fillId="0" borderId="7" xfId="144" applyNumberFormat="1" applyFont="1" applyFill="1" applyBorder="1" applyAlignment="1">
      <alignment horizontal="center" vertical="center"/>
    </xf>
    <xf numFmtId="0" fontId="54" fillId="0" borderId="36" xfId="144" applyNumberFormat="1" applyFont="1" applyFill="1" applyBorder="1" applyAlignment="1">
      <alignment horizontal="center" vertical="center"/>
    </xf>
    <xf numFmtId="0" fontId="54" fillId="0" borderId="31" xfId="144" applyNumberFormat="1" applyFont="1" applyFill="1" applyBorder="1" applyAlignment="1">
      <alignment horizontal="center" vertical="center"/>
    </xf>
    <xf numFmtId="0" fontId="54" fillId="0" borderId="37" xfId="144" applyNumberFormat="1" applyFont="1" applyFill="1" applyBorder="1" applyAlignment="1">
      <alignment horizontal="center" vertical="center"/>
    </xf>
    <xf numFmtId="0" fontId="54" fillId="0" borderId="32" xfId="144" applyNumberFormat="1" applyFont="1" applyFill="1" applyBorder="1" applyAlignment="1">
      <alignment horizontal="center" vertical="center"/>
    </xf>
    <xf numFmtId="0" fontId="54" fillId="0" borderId="33" xfId="144" applyNumberFormat="1" applyFont="1" applyFill="1" applyBorder="1" applyAlignment="1">
      <alignment horizontal="center" vertical="center"/>
    </xf>
    <xf numFmtId="0" fontId="54" fillId="0" borderId="39" xfId="144" applyNumberFormat="1" applyFont="1" applyFill="1" applyBorder="1" applyAlignment="1">
      <alignment horizontal="center" vertical="center"/>
    </xf>
    <xf numFmtId="2" fontId="52" fillId="0" borderId="29" xfId="1243" applyNumberFormat="1" applyFont="1" applyBorder="1" applyAlignment="1">
      <alignment horizontal="left" vertical="center" wrapText="1"/>
    </xf>
    <xf numFmtId="2" fontId="52" fillId="0" borderId="6" xfId="1243" applyNumberFormat="1" applyFont="1" applyBorder="1" applyAlignment="1">
      <alignment horizontal="left" vertical="center" wrapText="1"/>
    </xf>
    <xf numFmtId="2" fontId="52" fillId="0" borderId="30" xfId="1243" applyNumberFormat="1" applyFont="1" applyBorder="1" applyAlignment="1">
      <alignment horizontal="left" vertical="center" wrapText="1"/>
    </xf>
    <xf numFmtId="2" fontId="52" fillId="0" borderId="18" xfId="145" applyNumberFormat="1" applyFont="1" applyFill="1" applyBorder="1" applyAlignment="1">
      <alignment horizontal="left" vertical="top" wrapText="1"/>
    </xf>
    <xf numFmtId="0" fontId="75" fillId="0" borderId="0" xfId="0" applyNumberFormat="1" applyFont="1" applyAlignment="1">
      <alignment horizontal="center" vertical="center" wrapText="1"/>
    </xf>
    <xf numFmtId="0" fontId="75" fillId="0" borderId="3" xfId="0" applyNumberFormat="1" applyFont="1" applyBorder="1" applyAlignment="1">
      <alignment horizontal="center" vertical="center"/>
    </xf>
    <xf numFmtId="0" fontId="75" fillId="0" borderId="18" xfId="0" applyNumberFormat="1" applyFont="1" applyBorder="1" applyAlignment="1">
      <alignment horizontal="center" vertical="center"/>
    </xf>
    <xf numFmtId="0" fontId="75" fillId="0" borderId="18" xfId="0" applyNumberFormat="1" applyFont="1" applyBorder="1" applyAlignment="1">
      <alignment horizontal="center" vertical="center" wrapText="1"/>
    </xf>
  </cellXfs>
  <cellStyles count="1248">
    <cellStyle name="0,0_x000d__x000a_NA_x000d__x000a_" xfId="1246"/>
    <cellStyle name="20% - Accent1 10" xfId="147"/>
    <cellStyle name="20% - Accent1 10 2" xfId="148"/>
    <cellStyle name="20% - Accent1 11" xfId="149"/>
    <cellStyle name="20% - Accent1 2" xfId="45"/>
    <cellStyle name="20% - Accent1 2 2" xfId="150"/>
    <cellStyle name="20% - Accent1 2 3" xfId="151"/>
    <cellStyle name="20% - Accent1 3" xfId="152"/>
    <cellStyle name="20% - Accent1 3 2" xfId="153"/>
    <cellStyle name="20% - Accent1 3 3" xfId="154"/>
    <cellStyle name="20% - Accent1 4" xfId="155"/>
    <cellStyle name="20% - Accent1 4 2" xfId="156"/>
    <cellStyle name="20% - Accent1 4 3" xfId="157"/>
    <cellStyle name="20% - Accent1 5" xfId="158"/>
    <cellStyle name="20% - Accent1 5 2" xfId="159"/>
    <cellStyle name="20% - Accent1 5 3" xfId="160"/>
    <cellStyle name="20% - Accent1 6" xfId="161"/>
    <cellStyle name="20% - Accent1 6 2" xfId="162"/>
    <cellStyle name="20% - Accent1 6 3" xfId="163"/>
    <cellStyle name="20% - Accent1 7" xfId="164"/>
    <cellStyle name="20% - Accent1 7 2" xfId="165"/>
    <cellStyle name="20% - Accent1 7 3" xfId="166"/>
    <cellStyle name="20% - Accent1 8" xfId="167"/>
    <cellStyle name="20% - Accent1 8 2" xfId="168"/>
    <cellStyle name="20% - Accent1 8 3" xfId="169"/>
    <cellStyle name="20% - Accent1 9" xfId="170"/>
    <cellStyle name="20% - Accent1 9 2" xfId="171"/>
    <cellStyle name="20% - Accent1 9 3" xfId="172"/>
    <cellStyle name="20% - Accent2 10" xfId="173"/>
    <cellStyle name="20% - Accent2 10 2" xfId="174"/>
    <cellStyle name="20% - Accent2 11" xfId="175"/>
    <cellStyle name="20% - Accent2 2" xfId="46"/>
    <cellStyle name="20% - Accent2 2 2" xfId="176"/>
    <cellStyle name="20% - Accent2 2 3" xfId="177"/>
    <cellStyle name="20% - Accent2 3" xfId="178"/>
    <cellStyle name="20% - Accent2 3 2" xfId="179"/>
    <cellStyle name="20% - Accent2 3 3" xfId="180"/>
    <cellStyle name="20% - Accent2 4" xfId="181"/>
    <cellStyle name="20% - Accent2 4 2" xfId="182"/>
    <cellStyle name="20% - Accent2 4 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2 9 3" xfId="198"/>
    <cellStyle name="20% - Accent3 10" xfId="199"/>
    <cellStyle name="20% - Accent3 10 2" xfId="200"/>
    <cellStyle name="20% - Accent3 11" xfId="201"/>
    <cellStyle name="20% - Accent3 2" xfId="47"/>
    <cellStyle name="20% - Accent3 2 2" xfId="202"/>
    <cellStyle name="20% - Accent3 2 3" xfId="203"/>
    <cellStyle name="20% - Accent3 3" xfId="204"/>
    <cellStyle name="20% - Accent3 3 2" xfId="205"/>
    <cellStyle name="20% - Accent3 3 3" xfId="206"/>
    <cellStyle name="20% - Accent3 4" xfId="207"/>
    <cellStyle name="20% - Accent3 4 2" xfId="208"/>
    <cellStyle name="20% - Accent3 4 3" xfId="209"/>
    <cellStyle name="20% - Accent3 5" xfId="210"/>
    <cellStyle name="20% - Accent3 5 2" xfId="211"/>
    <cellStyle name="20% - Accent3 5 3" xfId="212"/>
    <cellStyle name="20% - Accent3 6" xfId="213"/>
    <cellStyle name="20% - Accent3 6 2" xfId="214"/>
    <cellStyle name="20% - Accent3 6 3" xfId="215"/>
    <cellStyle name="20% - Accent3 7" xfId="216"/>
    <cellStyle name="20% - Accent3 7 2" xfId="217"/>
    <cellStyle name="20% - Accent3 7 3" xfId="218"/>
    <cellStyle name="20% - Accent3 8" xfId="219"/>
    <cellStyle name="20% - Accent3 8 2" xfId="220"/>
    <cellStyle name="20% - Accent3 8 3" xfId="221"/>
    <cellStyle name="20% - Accent3 9" xfId="222"/>
    <cellStyle name="20% - Accent3 9 2" xfId="223"/>
    <cellStyle name="20% - Accent3 9 3" xfId="224"/>
    <cellStyle name="20% - Accent4 10" xfId="225"/>
    <cellStyle name="20% - Accent4 10 2" xfId="226"/>
    <cellStyle name="20% - Accent4 11" xfId="227"/>
    <cellStyle name="20% - Accent4 2" xfId="48"/>
    <cellStyle name="20% - Accent4 2 2" xfId="228"/>
    <cellStyle name="20% - Accent4 2 3" xfId="229"/>
    <cellStyle name="20% - Accent4 3" xfId="230"/>
    <cellStyle name="20% - Accent4 3 2" xfId="231"/>
    <cellStyle name="20% - Accent4 3 3" xfId="232"/>
    <cellStyle name="20% - Accent4 4" xfId="233"/>
    <cellStyle name="20% - Accent4 4 2" xfId="234"/>
    <cellStyle name="20% - Accent4 4 3" xfId="235"/>
    <cellStyle name="20% - Accent4 5" xfId="236"/>
    <cellStyle name="20% - Accent4 5 2" xfId="237"/>
    <cellStyle name="20% - Accent4 5 3" xfId="238"/>
    <cellStyle name="20% - Accent4 6" xfId="239"/>
    <cellStyle name="20% - Accent4 6 2" xfId="240"/>
    <cellStyle name="20% - Accent4 6 3" xfId="241"/>
    <cellStyle name="20% - Accent4 7" xfId="242"/>
    <cellStyle name="20% - Accent4 7 2" xfId="243"/>
    <cellStyle name="20% - Accent4 7 3" xfId="244"/>
    <cellStyle name="20% - Accent4 8" xfId="245"/>
    <cellStyle name="20% - Accent4 8 2" xfId="246"/>
    <cellStyle name="20% - Accent4 8 3" xfId="247"/>
    <cellStyle name="20% - Accent4 9" xfId="248"/>
    <cellStyle name="20% - Accent4 9 2" xfId="249"/>
    <cellStyle name="20% - Accent4 9 3" xfId="250"/>
    <cellStyle name="20% - Accent5 10" xfId="251"/>
    <cellStyle name="20% - Accent5 10 2" xfId="252"/>
    <cellStyle name="20% - Accent5 11" xfId="253"/>
    <cellStyle name="20% - Accent5 2" xfId="49"/>
    <cellStyle name="20% - Accent5 2 2" xfId="254"/>
    <cellStyle name="20% - Accent5 2 3" xfId="255"/>
    <cellStyle name="20% - Accent5 3" xfId="256"/>
    <cellStyle name="20% - Accent5 3 2" xfId="257"/>
    <cellStyle name="20% - Accent5 3 3" xfId="258"/>
    <cellStyle name="20% - Accent5 4" xfId="259"/>
    <cellStyle name="20% - Accent5 4 2" xfId="260"/>
    <cellStyle name="20% - Accent5 4 3" xfId="261"/>
    <cellStyle name="20% - Accent5 5" xfId="262"/>
    <cellStyle name="20% - Accent5 5 2" xfId="263"/>
    <cellStyle name="20% - Accent5 5 3" xfId="264"/>
    <cellStyle name="20% - Accent5 6" xfId="265"/>
    <cellStyle name="20% - Accent5 6 2" xfId="266"/>
    <cellStyle name="20% - Accent5 6 3" xfId="267"/>
    <cellStyle name="20% - Accent5 7" xfId="268"/>
    <cellStyle name="20% - Accent5 7 2" xfId="269"/>
    <cellStyle name="20% - Accent5 7 3" xfId="270"/>
    <cellStyle name="20% - Accent5 8" xfId="271"/>
    <cellStyle name="20% - Accent5 8 2" xfId="272"/>
    <cellStyle name="20% - Accent5 8 3" xfId="273"/>
    <cellStyle name="20% - Accent5 9" xfId="274"/>
    <cellStyle name="20% - Accent5 9 2" xfId="275"/>
    <cellStyle name="20% - Accent5 9 3" xfId="276"/>
    <cellStyle name="20% - Accent6 10" xfId="277"/>
    <cellStyle name="20% - Accent6 10 2" xfId="278"/>
    <cellStyle name="20% - Accent6 11" xfId="279"/>
    <cellStyle name="20% - Accent6 2" xfId="50"/>
    <cellStyle name="20% - Accent6 2 2" xfId="280"/>
    <cellStyle name="20% - Accent6 2 3" xfId="281"/>
    <cellStyle name="20% - Accent6 3" xfId="282"/>
    <cellStyle name="20% - Accent6 3 2" xfId="283"/>
    <cellStyle name="20% - Accent6 3 3" xfId="284"/>
    <cellStyle name="20% - Accent6 4" xfId="285"/>
    <cellStyle name="20% - Accent6 4 2" xfId="286"/>
    <cellStyle name="20% - Accent6 4 3" xfId="287"/>
    <cellStyle name="20% - Accent6 5" xfId="288"/>
    <cellStyle name="20% - Accent6 5 2" xfId="289"/>
    <cellStyle name="20% - Accent6 5 3" xfId="290"/>
    <cellStyle name="20% - Accent6 6" xfId="291"/>
    <cellStyle name="20% - Accent6 6 2" xfId="292"/>
    <cellStyle name="20% - Accent6 6 3" xfId="293"/>
    <cellStyle name="20% - Accent6 7" xfId="294"/>
    <cellStyle name="20% - Accent6 7 2" xfId="295"/>
    <cellStyle name="20% - Accent6 7 3" xfId="296"/>
    <cellStyle name="20% - Accent6 8" xfId="297"/>
    <cellStyle name="20% - Accent6 8 2" xfId="298"/>
    <cellStyle name="20% - Accent6 8 3" xfId="299"/>
    <cellStyle name="20% - Accent6 9" xfId="300"/>
    <cellStyle name="20% - Accent6 9 2" xfId="301"/>
    <cellStyle name="20% - Accent6 9 3" xfId="302"/>
    <cellStyle name="40% - Accent1 10" xfId="303"/>
    <cellStyle name="40% - Accent1 10 2" xfId="304"/>
    <cellStyle name="40% - Accent1 11" xfId="305"/>
    <cellStyle name="40% - Accent1 2" xfId="51"/>
    <cellStyle name="40% - Accent1 2 2" xfId="306"/>
    <cellStyle name="40% - Accent1 2 3" xfId="307"/>
    <cellStyle name="40% - Accent1 3" xfId="308"/>
    <cellStyle name="40% - Accent1 3 2" xfId="309"/>
    <cellStyle name="40% - Accent1 3 3" xfId="310"/>
    <cellStyle name="40% - Accent1 4" xfId="311"/>
    <cellStyle name="40% - Accent1 4 2" xfId="312"/>
    <cellStyle name="40% - Accent1 4 3" xfId="313"/>
    <cellStyle name="40% - Accent1 5" xfId="314"/>
    <cellStyle name="40% - Accent1 5 2" xfId="315"/>
    <cellStyle name="40% - Accent1 5 3" xfId="316"/>
    <cellStyle name="40% - Accent1 6" xfId="317"/>
    <cellStyle name="40% - Accent1 6 2" xfId="318"/>
    <cellStyle name="40% - Accent1 6 3" xfId="319"/>
    <cellStyle name="40% - Accent1 7" xfId="320"/>
    <cellStyle name="40% - Accent1 7 2" xfId="321"/>
    <cellStyle name="40% - Accent1 7 3" xfId="322"/>
    <cellStyle name="40% - Accent1 8" xfId="323"/>
    <cellStyle name="40% - Accent1 8 2" xfId="324"/>
    <cellStyle name="40% - Accent1 8 3" xfId="325"/>
    <cellStyle name="40% - Accent1 9" xfId="326"/>
    <cellStyle name="40% - Accent1 9 2" xfId="327"/>
    <cellStyle name="40% - Accent1 9 3" xfId="328"/>
    <cellStyle name="40% - Accent2 10" xfId="329"/>
    <cellStyle name="40% - Accent2 10 2" xfId="330"/>
    <cellStyle name="40% - Accent2 11" xfId="331"/>
    <cellStyle name="40% - Accent2 2" xfId="52"/>
    <cellStyle name="40% - Accent2 2 2" xfId="332"/>
    <cellStyle name="40% - Accent2 2 3" xfId="333"/>
    <cellStyle name="40% - Accent2 3" xfId="334"/>
    <cellStyle name="40% - Accent2 3 2" xfId="335"/>
    <cellStyle name="40% - Accent2 3 3" xfId="336"/>
    <cellStyle name="40% - Accent2 4" xfId="337"/>
    <cellStyle name="40% - Accent2 4 2" xfId="338"/>
    <cellStyle name="40% - Accent2 4 3" xfId="339"/>
    <cellStyle name="40% - Accent2 5" xfId="340"/>
    <cellStyle name="40% - Accent2 5 2" xfId="341"/>
    <cellStyle name="40% - Accent2 5 3" xfId="342"/>
    <cellStyle name="40% - Accent2 6" xfId="343"/>
    <cellStyle name="40% - Accent2 6 2" xfId="344"/>
    <cellStyle name="40% - Accent2 6 3" xfId="345"/>
    <cellStyle name="40% - Accent2 7" xfId="346"/>
    <cellStyle name="40% - Accent2 7 2" xfId="347"/>
    <cellStyle name="40% - Accent2 7 3" xfId="348"/>
    <cellStyle name="40% - Accent2 8" xfId="349"/>
    <cellStyle name="40% - Accent2 8 2" xfId="350"/>
    <cellStyle name="40% - Accent2 8 3" xfId="351"/>
    <cellStyle name="40% - Accent2 9" xfId="352"/>
    <cellStyle name="40% - Accent2 9 2" xfId="353"/>
    <cellStyle name="40% - Accent2 9 3" xfId="354"/>
    <cellStyle name="40% - Accent3 10" xfId="355"/>
    <cellStyle name="40% - Accent3 10 2" xfId="356"/>
    <cellStyle name="40% - Accent3 11" xfId="357"/>
    <cellStyle name="40% - Accent3 2" xfId="53"/>
    <cellStyle name="40% - Accent3 2 2" xfId="358"/>
    <cellStyle name="40% - Accent3 2 3" xfId="359"/>
    <cellStyle name="40% - Accent3 3" xfId="360"/>
    <cellStyle name="40% - Accent3 3 2" xfId="361"/>
    <cellStyle name="40% - Accent3 3 3" xfId="362"/>
    <cellStyle name="40% - Accent3 4" xfId="363"/>
    <cellStyle name="40% - Accent3 4 2" xfId="364"/>
    <cellStyle name="40% - Accent3 4 3" xfId="365"/>
    <cellStyle name="40% - Accent3 5" xfId="366"/>
    <cellStyle name="40% - Accent3 5 2" xfId="367"/>
    <cellStyle name="40% - Accent3 5 3" xfId="368"/>
    <cellStyle name="40% - Accent3 6" xfId="369"/>
    <cellStyle name="40% - Accent3 6 2" xfId="370"/>
    <cellStyle name="40% - Accent3 6 3" xfId="371"/>
    <cellStyle name="40% - Accent3 7" xfId="372"/>
    <cellStyle name="40% - Accent3 7 2" xfId="373"/>
    <cellStyle name="40% - Accent3 7 3" xfId="374"/>
    <cellStyle name="40% - Accent3 8" xfId="375"/>
    <cellStyle name="40% - Accent3 8 2" xfId="376"/>
    <cellStyle name="40% - Accent3 8 3" xfId="377"/>
    <cellStyle name="40% - Accent3 9" xfId="378"/>
    <cellStyle name="40% - Accent3 9 2" xfId="379"/>
    <cellStyle name="40% - Accent3 9 3" xfId="380"/>
    <cellStyle name="40% - Accent4 10" xfId="381"/>
    <cellStyle name="40% - Accent4 10 2" xfId="382"/>
    <cellStyle name="40% - Accent4 11" xfId="383"/>
    <cellStyle name="40% - Accent4 2" xfId="54"/>
    <cellStyle name="40% - Accent4 2 2" xfId="384"/>
    <cellStyle name="40% - Accent4 2 3" xfId="385"/>
    <cellStyle name="40% - Accent4 3" xfId="386"/>
    <cellStyle name="40% - Accent4 3 2" xfId="387"/>
    <cellStyle name="40% - Accent4 3 3" xfId="388"/>
    <cellStyle name="40% - Accent4 4" xfId="389"/>
    <cellStyle name="40% - Accent4 4 2" xfId="390"/>
    <cellStyle name="40% - Accent4 4 3" xfId="391"/>
    <cellStyle name="40% - Accent4 5" xfId="392"/>
    <cellStyle name="40% - Accent4 5 2" xfId="393"/>
    <cellStyle name="40% - Accent4 5 3" xfId="394"/>
    <cellStyle name="40% - Accent4 6" xfId="395"/>
    <cellStyle name="40% - Accent4 6 2" xfId="396"/>
    <cellStyle name="40% - Accent4 6 3" xfId="397"/>
    <cellStyle name="40% - Accent4 7" xfId="398"/>
    <cellStyle name="40% - Accent4 7 2" xfId="399"/>
    <cellStyle name="40% - Accent4 7 3" xfId="400"/>
    <cellStyle name="40% - Accent4 8" xfId="401"/>
    <cellStyle name="40% - Accent4 8 2" xfId="402"/>
    <cellStyle name="40% - Accent4 8 3" xfId="403"/>
    <cellStyle name="40% - Accent4 9" xfId="404"/>
    <cellStyle name="40% - Accent4 9 2" xfId="405"/>
    <cellStyle name="40% - Accent4 9 3" xfId="406"/>
    <cellStyle name="40% - Accent5 10" xfId="407"/>
    <cellStyle name="40% - Accent5 10 2" xfId="408"/>
    <cellStyle name="40% - Accent5 11" xfId="409"/>
    <cellStyle name="40% - Accent5 2" xfId="55"/>
    <cellStyle name="40% - Accent5 2 2" xfId="410"/>
    <cellStyle name="40% - Accent5 2 3" xfId="411"/>
    <cellStyle name="40% - Accent5 3" xfId="412"/>
    <cellStyle name="40% - Accent5 3 2" xfId="413"/>
    <cellStyle name="40% - Accent5 3 3" xfId="414"/>
    <cellStyle name="40% - Accent5 4" xfId="415"/>
    <cellStyle name="40% - Accent5 4 2" xfId="416"/>
    <cellStyle name="40% - Accent5 4 3" xfId="417"/>
    <cellStyle name="40% - Accent5 5" xfId="418"/>
    <cellStyle name="40% - Accent5 5 2" xfId="419"/>
    <cellStyle name="40% - Accent5 5 3" xfId="420"/>
    <cellStyle name="40% - Accent5 6" xfId="421"/>
    <cellStyle name="40% - Accent5 6 2" xfId="422"/>
    <cellStyle name="40% - Accent5 6 3" xfId="423"/>
    <cellStyle name="40% - Accent5 7" xfId="424"/>
    <cellStyle name="40% - Accent5 7 2" xfId="425"/>
    <cellStyle name="40% - Accent5 7 3" xfId="426"/>
    <cellStyle name="40% - Accent5 8" xfId="427"/>
    <cellStyle name="40% - Accent5 8 2" xfId="428"/>
    <cellStyle name="40% - Accent5 8 3" xfId="429"/>
    <cellStyle name="40% - Accent5 9" xfId="430"/>
    <cellStyle name="40% - Accent5 9 2" xfId="431"/>
    <cellStyle name="40% - Accent5 9 3" xfId="432"/>
    <cellStyle name="40% - Accent6 10" xfId="433"/>
    <cellStyle name="40% - Accent6 10 2" xfId="434"/>
    <cellStyle name="40% - Accent6 11" xfId="435"/>
    <cellStyle name="40% - Accent6 2" xfId="56"/>
    <cellStyle name="40% - Accent6 2 2" xfId="436"/>
    <cellStyle name="40% - Accent6 2 3" xfId="437"/>
    <cellStyle name="40% - Accent6 3" xfId="438"/>
    <cellStyle name="40% - Accent6 3 2" xfId="439"/>
    <cellStyle name="40% - Accent6 3 3" xfId="440"/>
    <cellStyle name="40% - Accent6 4" xfId="441"/>
    <cellStyle name="40% - Accent6 4 2" xfId="442"/>
    <cellStyle name="40% - Accent6 4 3" xfId="443"/>
    <cellStyle name="40% - Accent6 5" xfId="444"/>
    <cellStyle name="40% - Accent6 5 2" xfId="445"/>
    <cellStyle name="40% - Accent6 5 3" xfId="446"/>
    <cellStyle name="40% - Accent6 6" xfId="447"/>
    <cellStyle name="40% - Accent6 6 2" xfId="448"/>
    <cellStyle name="40% - Accent6 6 3" xfId="449"/>
    <cellStyle name="40% - Accent6 7" xfId="450"/>
    <cellStyle name="40% - Accent6 7 2" xfId="451"/>
    <cellStyle name="40% - Accent6 7 3" xfId="452"/>
    <cellStyle name="40% - Accent6 8" xfId="453"/>
    <cellStyle name="40% - Accent6 8 2" xfId="454"/>
    <cellStyle name="40% - Accent6 8 3" xfId="455"/>
    <cellStyle name="40% - Accent6 9" xfId="456"/>
    <cellStyle name="40% - Accent6 9 2" xfId="457"/>
    <cellStyle name="40% - Accent6 9 3" xfId="458"/>
    <cellStyle name="60% - Accent1 10" xfId="459"/>
    <cellStyle name="60% - Accent1 10 2" xfId="460"/>
    <cellStyle name="60% - Accent1 11" xfId="461"/>
    <cellStyle name="60% - Accent1 2" xfId="57"/>
    <cellStyle name="60% - Accent1 2 2" xfId="462"/>
    <cellStyle name="60% - Accent1 2 3" xfId="463"/>
    <cellStyle name="60% - Accent1 3" xfId="464"/>
    <cellStyle name="60% - Accent1 3 2" xfId="465"/>
    <cellStyle name="60% - Accent1 3 3" xfId="466"/>
    <cellStyle name="60% - Accent1 4" xfId="467"/>
    <cellStyle name="60% - Accent1 4 2" xfId="468"/>
    <cellStyle name="60% - Accent1 4 3" xfId="469"/>
    <cellStyle name="60% - Accent1 5" xfId="470"/>
    <cellStyle name="60% - Accent1 5 2" xfId="471"/>
    <cellStyle name="60% - Accent1 5 3" xfId="472"/>
    <cellStyle name="60% - Accent1 6" xfId="473"/>
    <cellStyle name="60% - Accent1 6 2" xfId="474"/>
    <cellStyle name="60% - Accent1 6 3" xfId="475"/>
    <cellStyle name="60% - Accent1 7" xfId="476"/>
    <cellStyle name="60% - Accent1 7 2" xfId="477"/>
    <cellStyle name="60% - Accent1 7 3" xfId="478"/>
    <cellStyle name="60% - Accent1 8" xfId="479"/>
    <cellStyle name="60% - Accent1 8 2" xfId="480"/>
    <cellStyle name="60% - Accent1 8 3" xfId="481"/>
    <cellStyle name="60% - Accent1 9" xfId="482"/>
    <cellStyle name="60% - Accent1 9 2" xfId="483"/>
    <cellStyle name="60% - Accent1 9 3" xfId="484"/>
    <cellStyle name="60% - Accent2 10" xfId="485"/>
    <cellStyle name="60% - Accent2 10 2" xfId="486"/>
    <cellStyle name="60% - Accent2 11" xfId="487"/>
    <cellStyle name="60% - Accent2 2" xfId="58"/>
    <cellStyle name="60% - Accent2 2 2" xfId="488"/>
    <cellStyle name="60% - Accent2 2 3" xfId="489"/>
    <cellStyle name="60% - Accent2 3" xfId="490"/>
    <cellStyle name="60% - Accent2 3 2" xfId="491"/>
    <cellStyle name="60% - Accent2 3 3" xfId="492"/>
    <cellStyle name="60% - Accent2 4" xfId="493"/>
    <cellStyle name="60% - Accent2 4 2" xfId="494"/>
    <cellStyle name="60% - Accent2 4 3" xfId="495"/>
    <cellStyle name="60% - Accent2 5" xfId="496"/>
    <cellStyle name="60% - Accent2 5 2" xfId="497"/>
    <cellStyle name="60% - Accent2 5 3" xfId="498"/>
    <cellStyle name="60% - Accent2 6" xfId="499"/>
    <cellStyle name="60% - Accent2 6 2" xfId="500"/>
    <cellStyle name="60% - Accent2 6 3" xfId="501"/>
    <cellStyle name="60% - Accent2 7" xfId="502"/>
    <cellStyle name="60% - Accent2 7 2" xfId="503"/>
    <cellStyle name="60% - Accent2 7 3" xfId="504"/>
    <cellStyle name="60% - Accent2 8" xfId="505"/>
    <cellStyle name="60% - Accent2 8 2" xfId="506"/>
    <cellStyle name="60% - Accent2 8 3" xfId="507"/>
    <cellStyle name="60% - Accent2 9" xfId="508"/>
    <cellStyle name="60% - Accent2 9 2" xfId="509"/>
    <cellStyle name="60% - Accent2 9 3" xfId="510"/>
    <cellStyle name="60% - Accent3 10" xfId="511"/>
    <cellStyle name="60% - Accent3 10 2" xfId="512"/>
    <cellStyle name="60% - Accent3 11" xfId="513"/>
    <cellStyle name="60% - Accent3 2" xfId="59"/>
    <cellStyle name="60% - Accent3 2 2" xfId="514"/>
    <cellStyle name="60% - Accent3 2 3" xfId="515"/>
    <cellStyle name="60% - Accent3 3" xfId="516"/>
    <cellStyle name="60% - Accent3 3 2" xfId="517"/>
    <cellStyle name="60% - Accent3 3 3" xfId="518"/>
    <cellStyle name="60% - Accent3 4" xfId="519"/>
    <cellStyle name="60% - Accent3 4 2" xfId="520"/>
    <cellStyle name="60% - Accent3 4 3" xfId="521"/>
    <cellStyle name="60% - Accent3 5" xfId="522"/>
    <cellStyle name="60% - Accent3 5 2" xfId="523"/>
    <cellStyle name="60% - Accent3 5 3" xfId="524"/>
    <cellStyle name="60% - Accent3 6" xfId="525"/>
    <cellStyle name="60% - Accent3 6 2" xfId="526"/>
    <cellStyle name="60% - Accent3 6 3" xfId="527"/>
    <cellStyle name="60% - Accent3 7" xfId="528"/>
    <cellStyle name="60% - Accent3 7 2" xfId="529"/>
    <cellStyle name="60% - Accent3 7 3" xfId="530"/>
    <cellStyle name="60% - Accent3 8" xfId="531"/>
    <cellStyle name="60% - Accent3 8 2" xfId="532"/>
    <cellStyle name="60% - Accent3 8 3" xfId="533"/>
    <cellStyle name="60% - Accent3 9" xfId="534"/>
    <cellStyle name="60% - Accent3 9 2" xfId="535"/>
    <cellStyle name="60% - Accent3 9 3" xfId="536"/>
    <cellStyle name="60% - Accent4 10" xfId="537"/>
    <cellStyle name="60% - Accent4 10 2" xfId="538"/>
    <cellStyle name="60% - Accent4 11" xfId="539"/>
    <cellStyle name="60% - Accent4 2" xfId="60"/>
    <cellStyle name="60% - Accent4 2 2" xfId="540"/>
    <cellStyle name="60% - Accent4 2 3" xfId="541"/>
    <cellStyle name="60% - Accent4 3" xfId="542"/>
    <cellStyle name="60% - Accent4 3 2" xfId="543"/>
    <cellStyle name="60% - Accent4 3 3" xfId="544"/>
    <cellStyle name="60% - Accent4 4" xfId="545"/>
    <cellStyle name="60% - Accent4 4 2" xfId="546"/>
    <cellStyle name="60% - Accent4 4 3" xfId="547"/>
    <cellStyle name="60% - Accent4 5" xfId="548"/>
    <cellStyle name="60% - Accent4 5 2" xfId="549"/>
    <cellStyle name="60% - Accent4 5 3" xfId="550"/>
    <cellStyle name="60% - Accent4 6" xfId="551"/>
    <cellStyle name="60% - Accent4 6 2" xfId="552"/>
    <cellStyle name="60% - Accent4 6 3" xfId="553"/>
    <cellStyle name="60% - Accent4 7" xfId="554"/>
    <cellStyle name="60% - Accent4 7 2" xfId="555"/>
    <cellStyle name="60% - Accent4 7 3" xfId="556"/>
    <cellStyle name="60% - Accent4 8" xfId="557"/>
    <cellStyle name="60% - Accent4 8 2" xfId="558"/>
    <cellStyle name="60% - Accent4 8 3" xfId="559"/>
    <cellStyle name="60% - Accent4 9" xfId="560"/>
    <cellStyle name="60% - Accent4 9 2" xfId="561"/>
    <cellStyle name="60% - Accent4 9 3" xfId="562"/>
    <cellStyle name="60% - Accent5 10" xfId="563"/>
    <cellStyle name="60% - Accent5 10 2" xfId="564"/>
    <cellStyle name="60% - Accent5 11" xfId="565"/>
    <cellStyle name="60% - Accent5 2" xfId="61"/>
    <cellStyle name="60% - Accent5 2 2" xfId="566"/>
    <cellStyle name="60% - Accent5 2 3" xfId="567"/>
    <cellStyle name="60% - Accent5 3" xfId="568"/>
    <cellStyle name="60% - Accent5 3 2" xfId="569"/>
    <cellStyle name="60% - Accent5 3 3" xfId="570"/>
    <cellStyle name="60% - Accent5 4" xfId="571"/>
    <cellStyle name="60% - Accent5 4 2" xfId="572"/>
    <cellStyle name="60% - Accent5 4 3" xfId="573"/>
    <cellStyle name="60% - Accent5 5" xfId="574"/>
    <cellStyle name="60% - Accent5 5 2" xfId="575"/>
    <cellStyle name="60% - Accent5 5 3" xfId="576"/>
    <cellStyle name="60% - Accent5 6" xfId="577"/>
    <cellStyle name="60% - Accent5 6 2" xfId="578"/>
    <cellStyle name="60% - Accent5 6 3" xfId="579"/>
    <cellStyle name="60% - Accent5 7" xfId="580"/>
    <cellStyle name="60% - Accent5 7 2" xfId="581"/>
    <cellStyle name="60% - Accent5 7 3" xfId="582"/>
    <cellStyle name="60% - Accent5 8" xfId="583"/>
    <cellStyle name="60% - Accent5 8 2" xfId="584"/>
    <cellStyle name="60% - Accent5 8 3" xfId="585"/>
    <cellStyle name="60% - Accent5 9" xfId="586"/>
    <cellStyle name="60% - Accent5 9 2" xfId="587"/>
    <cellStyle name="60% - Accent5 9 3" xfId="588"/>
    <cellStyle name="60% - Accent6 10" xfId="589"/>
    <cellStyle name="60% - Accent6 10 2" xfId="590"/>
    <cellStyle name="60% - Accent6 11" xfId="591"/>
    <cellStyle name="60% - Accent6 2" xfId="62"/>
    <cellStyle name="60% - Accent6 2 2" xfId="592"/>
    <cellStyle name="60% - Accent6 2 3" xfId="593"/>
    <cellStyle name="60% - Accent6 3" xfId="594"/>
    <cellStyle name="60% - Accent6 3 2" xfId="595"/>
    <cellStyle name="60% - Accent6 3 3" xfId="596"/>
    <cellStyle name="60% - Accent6 4" xfId="597"/>
    <cellStyle name="60% - Accent6 4 2" xfId="598"/>
    <cellStyle name="60% - Accent6 4 3" xfId="599"/>
    <cellStyle name="60% - Accent6 5" xfId="600"/>
    <cellStyle name="60% - Accent6 5 2" xfId="601"/>
    <cellStyle name="60% - Accent6 5 3" xfId="602"/>
    <cellStyle name="60% - Accent6 6" xfId="603"/>
    <cellStyle name="60% - Accent6 6 2" xfId="604"/>
    <cellStyle name="60% - Accent6 6 3" xfId="605"/>
    <cellStyle name="60% - Accent6 7" xfId="606"/>
    <cellStyle name="60% - Accent6 7 2" xfId="607"/>
    <cellStyle name="60% - Accent6 7 3" xfId="608"/>
    <cellStyle name="60% - Accent6 8" xfId="609"/>
    <cellStyle name="60% - Accent6 8 2" xfId="610"/>
    <cellStyle name="60% - Accent6 8 3" xfId="611"/>
    <cellStyle name="60% - Accent6 9" xfId="612"/>
    <cellStyle name="60% - Accent6 9 2" xfId="613"/>
    <cellStyle name="60% - Accent6 9 3" xfId="614"/>
    <cellStyle name="Accent1 10" xfId="615"/>
    <cellStyle name="Accent1 10 2" xfId="616"/>
    <cellStyle name="Accent1 11" xfId="617"/>
    <cellStyle name="Accent1 2" xfId="63"/>
    <cellStyle name="Accent1 2 2" xfId="618"/>
    <cellStyle name="Accent1 2 3" xfId="619"/>
    <cellStyle name="Accent1 3" xfId="620"/>
    <cellStyle name="Accent1 3 2" xfId="621"/>
    <cellStyle name="Accent1 3 3" xfId="622"/>
    <cellStyle name="Accent1 4" xfId="623"/>
    <cellStyle name="Accent1 4 2" xfId="624"/>
    <cellStyle name="Accent1 4 3" xfId="625"/>
    <cellStyle name="Accent1 5" xfId="626"/>
    <cellStyle name="Accent1 5 2" xfId="627"/>
    <cellStyle name="Accent1 5 3" xfId="628"/>
    <cellStyle name="Accent1 6" xfId="629"/>
    <cellStyle name="Accent1 6 2" xfId="630"/>
    <cellStyle name="Accent1 6 3" xfId="631"/>
    <cellStyle name="Accent1 7" xfId="632"/>
    <cellStyle name="Accent1 7 2" xfId="633"/>
    <cellStyle name="Accent1 7 3" xfId="634"/>
    <cellStyle name="Accent1 8" xfId="635"/>
    <cellStyle name="Accent1 8 2" xfId="636"/>
    <cellStyle name="Accent1 8 3" xfId="637"/>
    <cellStyle name="Accent1 9" xfId="638"/>
    <cellStyle name="Accent1 9 2" xfId="639"/>
    <cellStyle name="Accent1 9 3" xfId="640"/>
    <cellStyle name="Accent2 10" xfId="641"/>
    <cellStyle name="Accent2 10 2" xfId="642"/>
    <cellStyle name="Accent2 11" xfId="643"/>
    <cellStyle name="Accent2 2" xfId="64"/>
    <cellStyle name="Accent2 2 2" xfId="644"/>
    <cellStyle name="Accent2 2 3" xfId="645"/>
    <cellStyle name="Accent2 3" xfId="646"/>
    <cellStyle name="Accent2 3 2" xfId="647"/>
    <cellStyle name="Accent2 3 3" xfId="648"/>
    <cellStyle name="Accent2 4" xfId="649"/>
    <cellStyle name="Accent2 4 2" xfId="650"/>
    <cellStyle name="Accent2 4 3" xfId="651"/>
    <cellStyle name="Accent2 5" xfId="652"/>
    <cellStyle name="Accent2 5 2" xfId="653"/>
    <cellStyle name="Accent2 5 3" xfId="654"/>
    <cellStyle name="Accent2 6" xfId="655"/>
    <cellStyle name="Accent2 6 2" xfId="656"/>
    <cellStyle name="Accent2 6 3" xfId="657"/>
    <cellStyle name="Accent2 7" xfId="658"/>
    <cellStyle name="Accent2 7 2" xfId="659"/>
    <cellStyle name="Accent2 7 3" xfId="660"/>
    <cellStyle name="Accent2 8" xfId="661"/>
    <cellStyle name="Accent2 8 2" xfId="662"/>
    <cellStyle name="Accent2 8 3" xfId="663"/>
    <cellStyle name="Accent2 9" xfId="664"/>
    <cellStyle name="Accent2 9 2" xfId="665"/>
    <cellStyle name="Accent2 9 3" xfId="666"/>
    <cellStyle name="Accent3 10" xfId="667"/>
    <cellStyle name="Accent3 10 2" xfId="668"/>
    <cellStyle name="Accent3 11" xfId="669"/>
    <cellStyle name="Accent3 2" xfId="65"/>
    <cellStyle name="Accent3 2 2" xfId="670"/>
    <cellStyle name="Accent3 2 3" xfId="671"/>
    <cellStyle name="Accent3 3" xfId="672"/>
    <cellStyle name="Accent3 3 2" xfId="673"/>
    <cellStyle name="Accent3 3 3" xfId="674"/>
    <cellStyle name="Accent3 4" xfId="675"/>
    <cellStyle name="Accent3 4 2" xfId="676"/>
    <cellStyle name="Accent3 4 3" xfId="677"/>
    <cellStyle name="Accent3 5" xfId="678"/>
    <cellStyle name="Accent3 5 2" xfId="679"/>
    <cellStyle name="Accent3 5 3" xfId="680"/>
    <cellStyle name="Accent3 6" xfId="681"/>
    <cellStyle name="Accent3 6 2" xfId="682"/>
    <cellStyle name="Accent3 6 3" xfId="683"/>
    <cellStyle name="Accent3 7" xfId="684"/>
    <cellStyle name="Accent3 7 2" xfId="685"/>
    <cellStyle name="Accent3 7 3" xfId="686"/>
    <cellStyle name="Accent3 8" xfId="687"/>
    <cellStyle name="Accent3 8 2" xfId="688"/>
    <cellStyle name="Accent3 8 3" xfId="689"/>
    <cellStyle name="Accent3 9" xfId="690"/>
    <cellStyle name="Accent3 9 2" xfId="691"/>
    <cellStyle name="Accent3 9 3" xfId="692"/>
    <cellStyle name="Accent4 10" xfId="693"/>
    <cellStyle name="Accent4 10 2" xfId="694"/>
    <cellStyle name="Accent4 11" xfId="695"/>
    <cellStyle name="Accent4 2" xfId="66"/>
    <cellStyle name="Accent4 2 2" xfId="696"/>
    <cellStyle name="Accent4 2 3" xfId="697"/>
    <cellStyle name="Accent4 3" xfId="698"/>
    <cellStyle name="Accent4 3 2" xfId="699"/>
    <cellStyle name="Accent4 3 3" xfId="700"/>
    <cellStyle name="Accent4 4" xfId="701"/>
    <cellStyle name="Accent4 4 2" xfId="702"/>
    <cellStyle name="Accent4 4 3" xfId="703"/>
    <cellStyle name="Accent4 5" xfId="704"/>
    <cellStyle name="Accent4 5 2" xfId="705"/>
    <cellStyle name="Accent4 5 3" xfId="706"/>
    <cellStyle name="Accent4 6" xfId="707"/>
    <cellStyle name="Accent4 6 2" xfId="708"/>
    <cellStyle name="Accent4 6 3" xfId="709"/>
    <cellStyle name="Accent4 7" xfId="710"/>
    <cellStyle name="Accent4 7 2" xfId="711"/>
    <cellStyle name="Accent4 7 3" xfId="712"/>
    <cellStyle name="Accent4 8" xfId="713"/>
    <cellStyle name="Accent4 8 2" xfId="714"/>
    <cellStyle name="Accent4 8 3" xfId="715"/>
    <cellStyle name="Accent4 9" xfId="716"/>
    <cellStyle name="Accent4 9 2" xfId="717"/>
    <cellStyle name="Accent4 9 3" xfId="718"/>
    <cellStyle name="Accent5 10" xfId="719"/>
    <cellStyle name="Accent5 10 2" xfId="720"/>
    <cellStyle name="Accent5 11" xfId="721"/>
    <cellStyle name="Accent5 2" xfId="67"/>
    <cellStyle name="Accent5 2 2" xfId="722"/>
    <cellStyle name="Accent5 2 3" xfId="723"/>
    <cellStyle name="Accent5 3" xfId="724"/>
    <cellStyle name="Accent5 3 2" xfId="725"/>
    <cellStyle name="Accent5 3 3" xfId="726"/>
    <cellStyle name="Accent5 4" xfId="727"/>
    <cellStyle name="Accent5 4 2" xfId="728"/>
    <cellStyle name="Accent5 4 3" xfId="729"/>
    <cellStyle name="Accent5 5" xfId="730"/>
    <cellStyle name="Accent5 5 2" xfId="731"/>
    <cellStyle name="Accent5 5 3" xfId="732"/>
    <cellStyle name="Accent5 6" xfId="733"/>
    <cellStyle name="Accent5 6 2" xfId="734"/>
    <cellStyle name="Accent5 6 3" xfId="735"/>
    <cellStyle name="Accent5 7" xfId="736"/>
    <cellStyle name="Accent5 7 2" xfId="737"/>
    <cellStyle name="Accent5 7 3" xfId="738"/>
    <cellStyle name="Accent5 8" xfId="739"/>
    <cellStyle name="Accent5 8 2" xfId="740"/>
    <cellStyle name="Accent5 8 3" xfId="741"/>
    <cellStyle name="Accent5 9" xfId="742"/>
    <cellStyle name="Accent5 9 2" xfId="743"/>
    <cellStyle name="Accent5 9 3" xfId="744"/>
    <cellStyle name="Accent6 10" xfId="745"/>
    <cellStyle name="Accent6 10 2" xfId="746"/>
    <cellStyle name="Accent6 11" xfId="747"/>
    <cellStyle name="Accent6 2" xfId="68"/>
    <cellStyle name="Accent6 2 2" xfId="748"/>
    <cellStyle name="Accent6 2 3" xfId="749"/>
    <cellStyle name="Accent6 3" xfId="750"/>
    <cellStyle name="Accent6 3 2" xfId="751"/>
    <cellStyle name="Accent6 3 3" xfId="752"/>
    <cellStyle name="Accent6 4" xfId="753"/>
    <cellStyle name="Accent6 4 2" xfId="754"/>
    <cellStyle name="Accent6 4 3" xfId="755"/>
    <cellStyle name="Accent6 5" xfId="756"/>
    <cellStyle name="Accent6 5 2" xfId="757"/>
    <cellStyle name="Accent6 5 3" xfId="758"/>
    <cellStyle name="Accent6 6" xfId="759"/>
    <cellStyle name="Accent6 6 2" xfId="760"/>
    <cellStyle name="Accent6 6 3" xfId="761"/>
    <cellStyle name="Accent6 7" xfId="762"/>
    <cellStyle name="Accent6 7 2" xfId="763"/>
    <cellStyle name="Accent6 7 3" xfId="764"/>
    <cellStyle name="Accent6 8" xfId="765"/>
    <cellStyle name="Accent6 8 2" xfId="766"/>
    <cellStyle name="Accent6 8 3" xfId="767"/>
    <cellStyle name="Accent6 9" xfId="768"/>
    <cellStyle name="Accent6 9 2" xfId="769"/>
    <cellStyle name="Accent6 9 3" xfId="770"/>
    <cellStyle name="Bad 10" xfId="771"/>
    <cellStyle name="Bad 10 2" xfId="772"/>
    <cellStyle name="Bad 11" xfId="773"/>
    <cellStyle name="Bad 2" xfId="69"/>
    <cellStyle name="Bad 2 2" xfId="774"/>
    <cellStyle name="Bad 2 3" xfId="775"/>
    <cellStyle name="Bad 3" xfId="776"/>
    <cellStyle name="Bad 3 2" xfId="777"/>
    <cellStyle name="Bad 3 3" xfId="778"/>
    <cellStyle name="Bad 4" xfId="779"/>
    <cellStyle name="Bad 4 2" xfId="780"/>
    <cellStyle name="Bad 4 3" xfId="781"/>
    <cellStyle name="Bad 5" xfId="782"/>
    <cellStyle name="Bad 5 2" xfId="783"/>
    <cellStyle name="Bad 5 3" xfId="784"/>
    <cellStyle name="Bad 6" xfId="785"/>
    <cellStyle name="Bad 6 2" xfId="786"/>
    <cellStyle name="Bad 6 3" xfId="787"/>
    <cellStyle name="Bad 7" xfId="788"/>
    <cellStyle name="Bad 7 2" xfId="789"/>
    <cellStyle name="Bad 7 3" xfId="790"/>
    <cellStyle name="Bad 8" xfId="791"/>
    <cellStyle name="Bad 8 2" xfId="792"/>
    <cellStyle name="Bad 8 3" xfId="793"/>
    <cellStyle name="Bad 9" xfId="794"/>
    <cellStyle name="Bad 9 2" xfId="795"/>
    <cellStyle name="Bad 9 3" xfId="796"/>
    <cellStyle name="Calculation 10" xfId="797"/>
    <cellStyle name="Calculation 10 2" xfId="798"/>
    <cellStyle name="Calculation 11" xfId="799"/>
    <cellStyle name="Calculation 2" xfId="70"/>
    <cellStyle name="Calculation 2 2" xfId="800"/>
    <cellStyle name="Calculation 2 3" xfId="801"/>
    <cellStyle name="Calculation 3" xfId="802"/>
    <cellStyle name="Calculation 3 2" xfId="803"/>
    <cellStyle name="Calculation 3 3" xfId="804"/>
    <cellStyle name="Calculation 4" xfId="805"/>
    <cellStyle name="Calculation 4 2" xfId="806"/>
    <cellStyle name="Calculation 4 3" xfId="807"/>
    <cellStyle name="Calculation 5" xfId="808"/>
    <cellStyle name="Calculation 5 2" xfId="809"/>
    <cellStyle name="Calculation 5 3" xfId="810"/>
    <cellStyle name="Calculation 6" xfId="811"/>
    <cellStyle name="Calculation 6 2" xfId="812"/>
    <cellStyle name="Calculation 6 3" xfId="813"/>
    <cellStyle name="Calculation 7" xfId="814"/>
    <cellStyle name="Calculation 7 2" xfId="815"/>
    <cellStyle name="Calculation 7 3" xfId="816"/>
    <cellStyle name="Calculation 8" xfId="817"/>
    <cellStyle name="Calculation 8 2" xfId="818"/>
    <cellStyle name="Calculation 8 3" xfId="819"/>
    <cellStyle name="Calculation 9" xfId="820"/>
    <cellStyle name="Calculation 9 2" xfId="821"/>
    <cellStyle name="Calculation 9 3" xfId="822"/>
    <cellStyle name="Check Cell 10" xfId="823"/>
    <cellStyle name="Check Cell 10 2" xfId="824"/>
    <cellStyle name="Check Cell 11" xfId="825"/>
    <cellStyle name="Check Cell 2" xfId="71"/>
    <cellStyle name="Check Cell 2 2" xfId="826"/>
    <cellStyle name="Check Cell 2 3" xfId="827"/>
    <cellStyle name="Check Cell 3" xfId="828"/>
    <cellStyle name="Check Cell 3 2" xfId="829"/>
    <cellStyle name="Check Cell 3 3" xfId="830"/>
    <cellStyle name="Check Cell 4" xfId="831"/>
    <cellStyle name="Check Cell 4 2" xfId="832"/>
    <cellStyle name="Check Cell 4 3" xfId="833"/>
    <cellStyle name="Check Cell 5" xfId="834"/>
    <cellStyle name="Check Cell 5 2" xfId="835"/>
    <cellStyle name="Check Cell 5 3" xfId="836"/>
    <cellStyle name="Check Cell 6" xfId="837"/>
    <cellStyle name="Check Cell 6 2" xfId="838"/>
    <cellStyle name="Check Cell 6 3" xfId="839"/>
    <cellStyle name="Check Cell 7" xfId="840"/>
    <cellStyle name="Check Cell 7 2" xfId="841"/>
    <cellStyle name="Check Cell 7 3" xfId="842"/>
    <cellStyle name="Check Cell 8" xfId="843"/>
    <cellStyle name="Check Cell 8 2" xfId="844"/>
    <cellStyle name="Check Cell 8 3" xfId="845"/>
    <cellStyle name="Check Cell 9" xfId="846"/>
    <cellStyle name="Check Cell 9 2" xfId="847"/>
    <cellStyle name="Check Cell 9 3" xfId="848"/>
    <cellStyle name="Comma 10" xfId="1"/>
    <cellStyle name="Comma 2" xfId="2"/>
    <cellStyle name="Comma 2 2" xfId="3"/>
    <cellStyle name="Comma 3" xfId="72"/>
    <cellStyle name="Comma 4" xfId="73"/>
    <cellStyle name="Comma 5" xfId="146"/>
    <cellStyle name="Currency 2" xfId="74"/>
    <cellStyle name="Currency 2 2" xfId="849"/>
    <cellStyle name="Currency 3" xfId="850"/>
    <cellStyle name="Currency 4" xfId="851"/>
    <cellStyle name="Excel Built-in Normal" xfId="1247"/>
    <cellStyle name="Explanatory Text 10" xfId="852"/>
    <cellStyle name="Explanatory Text 10 2" xfId="853"/>
    <cellStyle name="Explanatory Text 11" xfId="854"/>
    <cellStyle name="Explanatory Text 2" xfId="75"/>
    <cellStyle name="Explanatory Text 2 2" xfId="855"/>
    <cellStyle name="Explanatory Text 2 3" xfId="856"/>
    <cellStyle name="Explanatory Text 3" xfId="857"/>
    <cellStyle name="Explanatory Text 3 2" xfId="858"/>
    <cellStyle name="Explanatory Text 3 3" xfId="859"/>
    <cellStyle name="Explanatory Text 4" xfId="860"/>
    <cellStyle name="Explanatory Text 4 2" xfId="861"/>
    <cellStyle name="Explanatory Text 4 3" xfId="862"/>
    <cellStyle name="Explanatory Text 5" xfId="863"/>
    <cellStyle name="Explanatory Text 5 2" xfId="864"/>
    <cellStyle name="Explanatory Text 5 3" xfId="865"/>
    <cellStyle name="Explanatory Text 6" xfId="866"/>
    <cellStyle name="Explanatory Text 6 2" xfId="867"/>
    <cellStyle name="Explanatory Text 6 3" xfId="868"/>
    <cellStyle name="Explanatory Text 7" xfId="869"/>
    <cellStyle name="Explanatory Text 7 2" xfId="870"/>
    <cellStyle name="Explanatory Text 7 3" xfId="871"/>
    <cellStyle name="Explanatory Text 8" xfId="872"/>
    <cellStyle name="Explanatory Text 8 2" xfId="873"/>
    <cellStyle name="Explanatory Text 8 3" xfId="874"/>
    <cellStyle name="Explanatory Text 9" xfId="875"/>
    <cellStyle name="Explanatory Text 9 2" xfId="876"/>
    <cellStyle name="Explanatory Text 9 3" xfId="877"/>
    <cellStyle name="Good 10" xfId="878"/>
    <cellStyle name="Good 10 2" xfId="879"/>
    <cellStyle name="Good 11" xfId="880"/>
    <cellStyle name="Good 2" xfId="76"/>
    <cellStyle name="Good 2 2" xfId="881"/>
    <cellStyle name="Good 2 3" xfId="882"/>
    <cellStyle name="Good 3" xfId="883"/>
    <cellStyle name="Good 3 2" xfId="884"/>
    <cellStyle name="Good 3 3" xfId="885"/>
    <cellStyle name="Good 4" xfId="886"/>
    <cellStyle name="Good 4 2" xfId="887"/>
    <cellStyle name="Good 4 3" xfId="888"/>
    <cellStyle name="Good 5" xfId="889"/>
    <cellStyle name="Good 5 2" xfId="890"/>
    <cellStyle name="Good 5 3" xfId="891"/>
    <cellStyle name="Good 6" xfId="892"/>
    <cellStyle name="Good 6 2" xfId="893"/>
    <cellStyle name="Good 6 3" xfId="894"/>
    <cellStyle name="Good 7" xfId="895"/>
    <cellStyle name="Good 7 2" xfId="896"/>
    <cellStyle name="Good 7 3" xfId="897"/>
    <cellStyle name="Good 8" xfId="898"/>
    <cellStyle name="Good 8 2" xfId="899"/>
    <cellStyle name="Good 8 3" xfId="900"/>
    <cellStyle name="Good 9" xfId="901"/>
    <cellStyle name="Good 9 2" xfId="902"/>
    <cellStyle name="Good 9 3" xfId="903"/>
    <cellStyle name="Grey" xfId="4"/>
    <cellStyle name="Heading 1 10" xfId="904"/>
    <cellStyle name="Heading 1 10 2" xfId="905"/>
    <cellStyle name="Heading 1 11" xfId="906"/>
    <cellStyle name="Heading 1 2" xfId="77"/>
    <cellStyle name="Heading 1 2 2" xfId="907"/>
    <cellStyle name="Heading 1 2 3" xfId="908"/>
    <cellStyle name="Heading 1 3" xfId="909"/>
    <cellStyle name="Heading 1 3 2" xfId="910"/>
    <cellStyle name="Heading 1 3 3" xfId="911"/>
    <cellStyle name="Heading 1 4" xfId="912"/>
    <cellStyle name="Heading 1 4 2" xfId="913"/>
    <cellStyle name="Heading 1 4 3" xfId="914"/>
    <cellStyle name="Heading 1 5" xfId="915"/>
    <cellStyle name="Heading 1 5 2" xfId="916"/>
    <cellStyle name="Heading 1 5 3" xfId="917"/>
    <cellStyle name="Heading 1 6" xfId="918"/>
    <cellStyle name="Heading 1 6 2" xfId="919"/>
    <cellStyle name="Heading 1 6 3" xfId="920"/>
    <cellStyle name="Heading 1 7" xfId="921"/>
    <cellStyle name="Heading 1 7 2" xfId="922"/>
    <cellStyle name="Heading 1 7 3" xfId="923"/>
    <cellStyle name="Heading 1 8" xfId="924"/>
    <cellStyle name="Heading 1 8 2" xfId="925"/>
    <cellStyle name="Heading 1 8 3" xfId="926"/>
    <cellStyle name="Heading 1 9" xfId="927"/>
    <cellStyle name="Heading 1 9 2" xfId="928"/>
    <cellStyle name="Heading 1 9 3" xfId="929"/>
    <cellStyle name="Heading 2 10" xfId="930"/>
    <cellStyle name="Heading 2 10 2" xfId="931"/>
    <cellStyle name="Heading 2 11" xfId="932"/>
    <cellStyle name="Heading 2 2" xfId="78"/>
    <cellStyle name="Heading 2 2 2" xfId="933"/>
    <cellStyle name="Heading 2 2 3" xfId="934"/>
    <cellStyle name="Heading 2 3" xfId="935"/>
    <cellStyle name="Heading 2 3 2" xfId="936"/>
    <cellStyle name="Heading 2 3 3" xfId="937"/>
    <cellStyle name="Heading 2 4" xfId="938"/>
    <cellStyle name="Heading 2 4 2" xfId="939"/>
    <cellStyle name="Heading 2 4 3" xfId="940"/>
    <cellStyle name="Heading 2 5" xfId="941"/>
    <cellStyle name="Heading 2 5 2" xfId="942"/>
    <cellStyle name="Heading 2 5 3" xfId="943"/>
    <cellStyle name="Heading 2 6" xfId="944"/>
    <cellStyle name="Heading 2 6 2" xfId="945"/>
    <cellStyle name="Heading 2 6 3" xfId="946"/>
    <cellStyle name="Heading 2 7" xfId="947"/>
    <cellStyle name="Heading 2 7 2" xfId="948"/>
    <cellStyle name="Heading 2 7 3" xfId="949"/>
    <cellStyle name="Heading 2 8" xfId="950"/>
    <cellStyle name="Heading 2 8 2" xfId="951"/>
    <cellStyle name="Heading 2 8 3" xfId="952"/>
    <cellStyle name="Heading 2 9" xfId="953"/>
    <cellStyle name="Heading 2 9 2" xfId="954"/>
    <cellStyle name="Heading 2 9 3" xfId="955"/>
    <cellStyle name="Heading 3 10" xfId="956"/>
    <cellStyle name="Heading 3 10 2" xfId="957"/>
    <cellStyle name="Heading 3 11" xfId="958"/>
    <cellStyle name="Heading 3 2" xfId="79"/>
    <cellStyle name="Heading 3 2 2" xfId="959"/>
    <cellStyle name="Heading 3 2 3" xfId="960"/>
    <cellStyle name="Heading 3 3" xfId="961"/>
    <cellStyle name="Heading 3 3 2" xfId="962"/>
    <cellStyle name="Heading 3 3 3" xfId="963"/>
    <cellStyle name="Heading 3 4" xfId="964"/>
    <cellStyle name="Heading 3 4 2" xfId="965"/>
    <cellStyle name="Heading 3 4 3" xfId="966"/>
    <cellStyle name="Heading 3 5" xfId="967"/>
    <cellStyle name="Heading 3 5 2" xfId="968"/>
    <cellStyle name="Heading 3 5 3" xfId="969"/>
    <cellStyle name="Heading 3 6" xfId="970"/>
    <cellStyle name="Heading 3 6 2" xfId="971"/>
    <cellStyle name="Heading 3 6 3" xfId="972"/>
    <cellStyle name="Heading 3 7" xfId="973"/>
    <cellStyle name="Heading 3 7 2" xfId="974"/>
    <cellStyle name="Heading 3 7 3" xfId="975"/>
    <cellStyle name="Heading 3 8" xfId="976"/>
    <cellStyle name="Heading 3 8 2" xfId="977"/>
    <cellStyle name="Heading 3 8 3" xfId="978"/>
    <cellStyle name="Heading 3 9" xfId="979"/>
    <cellStyle name="Heading 3 9 2" xfId="980"/>
    <cellStyle name="Heading 3 9 3" xfId="981"/>
    <cellStyle name="Heading 4 10" xfId="982"/>
    <cellStyle name="Heading 4 10 2" xfId="983"/>
    <cellStyle name="Heading 4 11" xfId="984"/>
    <cellStyle name="Heading 4 2" xfId="80"/>
    <cellStyle name="Heading 4 2 2" xfId="985"/>
    <cellStyle name="Heading 4 2 3" xfId="986"/>
    <cellStyle name="Heading 4 3" xfId="987"/>
    <cellStyle name="Heading 4 3 2" xfId="988"/>
    <cellStyle name="Heading 4 3 3" xfId="989"/>
    <cellStyle name="Heading 4 4" xfId="990"/>
    <cellStyle name="Heading 4 4 2" xfId="991"/>
    <cellStyle name="Heading 4 4 3" xfId="992"/>
    <cellStyle name="Heading 4 5" xfId="993"/>
    <cellStyle name="Heading 4 5 2" xfId="994"/>
    <cellStyle name="Heading 4 5 3" xfId="995"/>
    <cellStyle name="Heading 4 6" xfId="996"/>
    <cellStyle name="Heading 4 6 2" xfId="997"/>
    <cellStyle name="Heading 4 6 3" xfId="998"/>
    <cellStyle name="Heading 4 7" xfId="999"/>
    <cellStyle name="Heading 4 7 2" xfId="1000"/>
    <cellStyle name="Heading 4 7 3" xfId="1001"/>
    <cellStyle name="Heading 4 8" xfId="1002"/>
    <cellStyle name="Heading 4 8 2" xfId="1003"/>
    <cellStyle name="Heading 4 8 3" xfId="1004"/>
    <cellStyle name="Heading 4 9" xfId="1005"/>
    <cellStyle name="Heading 4 9 2" xfId="1006"/>
    <cellStyle name="Heading 4 9 3" xfId="1007"/>
    <cellStyle name="Hyperlink 2" xfId="5"/>
    <cellStyle name="Hyperlink 3" xfId="81"/>
    <cellStyle name="Hyperlink 4" xfId="1008"/>
    <cellStyle name="Input [yellow]" xfId="6"/>
    <cellStyle name="Input 10" xfId="1009"/>
    <cellStyle name="Input 10 2" xfId="1010"/>
    <cellStyle name="Input 11" xfId="1011"/>
    <cellStyle name="Input 2" xfId="82"/>
    <cellStyle name="Input 2 2" xfId="1012"/>
    <cellStyle name="Input 2 3" xfId="1013"/>
    <cellStyle name="Input 3" xfId="1014"/>
    <cellStyle name="Input 3 2" xfId="1015"/>
    <cellStyle name="Input 3 3" xfId="1016"/>
    <cellStyle name="Input 4" xfId="1017"/>
    <cellStyle name="Input 4 2" xfId="1018"/>
    <cellStyle name="Input 4 3" xfId="1019"/>
    <cellStyle name="Input 5" xfId="1020"/>
    <cellStyle name="Input 5 2" xfId="1021"/>
    <cellStyle name="Input 5 3" xfId="1022"/>
    <cellStyle name="Input 6" xfId="1023"/>
    <cellStyle name="Input 6 2" xfId="1024"/>
    <cellStyle name="Input 6 3" xfId="1025"/>
    <cellStyle name="Input 7" xfId="1026"/>
    <cellStyle name="Input 7 2" xfId="1027"/>
    <cellStyle name="Input 7 3" xfId="1028"/>
    <cellStyle name="Input 8" xfId="1029"/>
    <cellStyle name="Input 8 2" xfId="1030"/>
    <cellStyle name="Input 8 3" xfId="1031"/>
    <cellStyle name="Input 9" xfId="1032"/>
    <cellStyle name="Input 9 2" xfId="1033"/>
    <cellStyle name="Input 9 3" xfId="1034"/>
    <cellStyle name="integer" xfId="83"/>
    <cellStyle name="Linked Cell 10" xfId="1035"/>
    <cellStyle name="Linked Cell 10 2" xfId="1036"/>
    <cellStyle name="Linked Cell 11" xfId="1037"/>
    <cellStyle name="Linked Cell 2" xfId="84"/>
    <cellStyle name="Linked Cell 2 2" xfId="1038"/>
    <cellStyle name="Linked Cell 2 3" xfId="1039"/>
    <cellStyle name="Linked Cell 3" xfId="1040"/>
    <cellStyle name="Linked Cell 3 2" xfId="1041"/>
    <cellStyle name="Linked Cell 3 3" xfId="1042"/>
    <cellStyle name="Linked Cell 4" xfId="1043"/>
    <cellStyle name="Linked Cell 4 2" xfId="1044"/>
    <cellStyle name="Linked Cell 4 3" xfId="1045"/>
    <cellStyle name="Linked Cell 5" xfId="1046"/>
    <cellStyle name="Linked Cell 5 2" xfId="1047"/>
    <cellStyle name="Linked Cell 5 3" xfId="1048"/>
    <cellStyle name="Linked Cell 6" xfId="1049"/>
    <cellStyle name="Linked Cell 6 2" xfId="1050"/>
    <cellStyle name="Linked Cell 6 3" xfId="1051"/>
    <cellStyle name="Linked Cell 7" xfId="1052"/>
    <cellStyle name="Linked Cell 7 2" xfId="1053"/>
    <cellStyle name="Linked Cell 7 3" xfId="1054"/>
    <cellStyle name="Linked Cell 8" xfId="1055"/>
    <cellStyle name="Linked Cell 8 2" xfId="1056"/>
    <cellStyle name="Linked Cell 8 3" xfId="1057"/>
    <cellStyle name="Linked Cell 9" xfId="1058"/>
    <cellStyle name="Linked Cell 9 2" xfId="1059"/>
    <cellStyle name="Linked Cell 9 3" xfId="1060"/>
    <cellStyle name="Neutral 10" xfId="1061"/>
    <cellStyle name="Neutral 10 2" xfId="1062"/>
    <cellStyle name="Neutral 11" xfId="1063"/>
    <cellStyle name="Neutral 2" xfId="85"/>
    <cellStyle name="Neutral 2 2" xfId="1064"/>
    <cellStyle name="Neutral 2 3" xfId="1065"/>
    <cellStyle name="Neutral 3" xfId="1066"/>
    <cellStyle name="Neutral 3 2" xfId="1067"/>
    <cellStyle name="Neutral 3 3" xfId="1068"/>
    <cellStyle name="Neutral 4" xfId="1069"/>
    <cellStyle name="Neutral 4 2" xfId="1070"/>
    <cellStyle name="Neutral 4 3" xfId="1071"/>
    <cellStyle name="Neutral 5" xfId="1072"/>
    <cellStyle name="Neutral 5 2" xfId="1073"/>
    <cellStyle name="Neutral 5 3" xfId="1074"/>
    <cellStyle name="Neutral 6" xfId="1075"/>
    <cellStyle name="Neutral 6 2" xfId="1076"/>
    <cellStyle name="Neutral 6 3" xfId="1077"/>
    <cellStyle name="Neutral 7" xfId="1078"/>
    <cellStyle name="Neutral 7 2" xfId="1079"/>
    <cellStyle name="Neutral 7 3" xfId="1080"/>
    <cellStyle name="Neutral 8" xfId="1081"/>
    <cellStyle name="Neutral 8 2" xfId="1082"/>
    <cellStyle name="Neutral 8 3" xfId="1083"/>
    <cellStyle name="Neutral 9" xfId="1084"/>
    <cellStyle name="Neutral 9 2" xfId="1085"/>
    <cellStyle name="Neutral 9 3" xfId="1086"/>
    <cellStyle name="Normal" xfId="0" builtinId="0"/>
    <cellStyle name="Normal - Style1" xfId="7"/>
    <cellStyle name="Normal 10" xfId="8"/>
    <cellStyle name="Normal 10 2" xfId="86"/>
    <cellStyle name="Normal 10 2 2" xfId="9"/>
    <cellStyle name="Normal 10 3" xfId="123"/>
    <cellStyle name="Normal 11" xfId="131"/>
    <cellStyle name="Normal 11 2" xfId="10"/>
    <cellStyle name="Normal 11 2 2" xfId="139"/>
    <cellStyle name="Normal 11 3" xfId="1087"/>
    <cellStyle name="Normal 12" xfId="132"/>
    <cellStyle name="Normal 13" xfId="11"/>
    <cellStyle name="Normal 13 2" xfId="1088"/>
    <cellStyle name="Normal 14" xfId="124"/>
    <cellStyle name="Normal 15" xfId="138"/>
    <cellStyle name="Normal 15 5" xfId="12"/>
    <cellStyle name="Normal 16" xfId="142"/>
    <cellStyle name="Normal 17" xfId="1089"/>
    <cellStyle name="Normal 18" xfId="1090"/>
    <cellStyle name="Normal 19" xfId="125"/>
    <cellStyle name="Normal 2" xfId="13"/>
    <cellStyle name="Normal 2 10" xfId="87"/>
    <cellStyle name="Normal 2 11" xfId="1091"/>
    <cellStyle name="Normal 2 12" xfId="1092"/>
    <cellStyle name="Normal 2 13" xfId="14"/>
    <cellStyle name="Normal 2 2" xfId="15"/>
    <cellStyle name="Normal 2 2 2" xfId="16"/>
    <cellStyle name="Normal 2 2 2 2" xfId="1093"/>
    <cellStyle name="Normal 2 2 3" xfId="88"/>
    <cellStyle name="Normal 2 2 3 2" xfId="118"/>
    <cellStyle name="Normal 2 2 3 2 2" xfId="130"/>
    <cellStyle name="Normal 2 2 3 3" xfId="126"/>
    <cellStyle name="Normal 2 2 4" xfId="133"/>
    <cellStyle name="Normal 2 3" xfId="17"/>
    <cellStyle name="Normal 2 3 2" xfId="18"/>
    <cellStyle name="Normal 2 3 2 2" xfId="1094"/>
    <cellStyle name="Normal 2 3 3" xfId="134"/>
    <cellStyle name="Normal 2 3 3 2" xfId="121"/>
    <cellStyle name="Normal 2 3 4" xfId="135"/>
    <cellStyle name="Normal 2 3 7" xfId="1095"/>
    <cellStyle name="Normal 2 4" xfId="19"/>
    <cellStyle name="Normal 2 4 2" xfId="1096"/>
    <cellStyle name="Normal 2 4 3" xfId="1097"/>
    <cellStyle name="Normal 2 4 4" xfId="1098"/>
    <cellStyle name="Normal 2 5" xfId="20"/>
    <cellStyle name="Normal 2 5 2" xfId="89"/>
    <cellStyle name="Normal 2 5 3" xfId="144"/>
    <cellStyle name="Normal 2 6" xfId="90"/>
    <cellStyle name="Normal 2 6 2" xfId="91"/>
    <cellStyle name="Normal 2 7" xfId="92"/>
    <cellStyle name="Normal 2 7 2" xfId="137"/>
    <cellStyle name="Normal 2 8" xfId="93"/>
    <cellStyle name="Normal 2 9" xfId="94"/>
    <cellStyle name="Normal 2_1.Tha" xfId="95"/>
    <cellStyle name="Normal 20" xfId="1245"/>
    <cellStyle name="Normal 21" xfId="1242"/>
    <cellStyle name="Normal 3" xfId="21"/>
    <cellStyle name="Normal 3 2" xfId="22"/>
    <cellStyle name="Normal 3 2 2" xfId="23"/>
    <cellStyle name="Normal 3 2 2 2" xfId="96"/>
    <cellStyle name="Normal 3 2 2 2 3" xfId="1099"/>
    <cellStyle name="Normal 3 2 2 2 4" xfId="24"/>
    <cellStyle name="Normal 3 2 2 4" xfId="122"/>
    <cellStyle name="Normal 3 2 2 4 2" xfId="127"/>
    <cellStyle name="Normal 3 2 3" xfId="1100"/>
    <cellStyle name="Normal 3 2 4" xfId="1101"/>
    <cellStyle name="Normal 3 3" xfId="43"/>
    <cellStyle name="Normal 3 3 2" xfId="136"/>
    <cellStyle name="Normal 3 4" xfId="25"/>
    <cellStyle name="Normal 3 4 2" xfId="1102"/>
    <cellStyle name="Normal 3 5" xfId="97"/>
    <cellStyle name="Normal 3 6" xfId="98"/>
    <cellStyle name="Normal 3 7" xfId="99"/>
    <cellStyle name="Normal 3 8" xfId="100"/>
    <cellStyle name="Normal 3 9" xfId="101"/>
    <cellStyle name="Normal 3 9 2" xfId="1244"/>
    <cellStyle name="Normal 3_est" xfId="102"/>
    <cellStyle name="Normal 4" xfId="26"/>
    <cellStyle name="Normal 4 10" xfId="1103"/>
    <cellStyle name="Normal 4 2" xfId="103"/>
    <cellStyle name="Normal 4 2 2" xfId="1104"/>
    <cellStyle name="Normal 4 3" xfId="104"/>
    <cellStyle name="Normal 4 3 2" xfId="1105"/>
    <cellStyle name="Normal 4 4" xfId="105"/>
    <cellStyle name="Normal 4 5" xfId="106"/>
    <cellStyle name="Normal 4 6" xfId="107"/>
    <cellStyle name="Normal 4 7" xfId="108"/>
    <cellStyle name="Normal 4 7 2" xfId="120"/>
    <cellStyle name="Normal 4 8" xfId="1106"/>
    <cellStyle name="Normal 4 9" xfId="1107"/>
    <cellStyle name="Normal 4_AMST Road" xfId="109"/>
    <cellStyle name="Normal 5" xfId="27"/>
    <cellStyle name="Normal 5 2" xfId="28"/>
    <cellStyle name="Normal 5 2 2" xfId="1108"/>
    <cellStyle name="Normal 5 2 3" xfId="1109"/>
    <cellStyle name="Normal 5 3" xfId="29"/>
    <cellStyle name="Normal 5 3 2" xfId="1110"/>
    <cellStyle name="Normal 5 4" xfId="30"/>
    <cellStyle name="Normal 5 4 2" xfId="1111"/>
    <cellStyle name="Normal 5 5" xfId="31"/>
    <cellStyle name="Normal 5 5 2" xfId="1112"/>
    <cellStyle name="Normal 5 6" xfId="110"/>
    <cellStyle name="Normal 5 6 2" xfId="119"/>
    <cellStyle name="Normal 5 7" xfId="128"/>
    <cellStyle name="Normal 5 7 2" xfId="1243"/>
    <cellStyle name="Normal 5 8" xfId="1113"/>
    <cellStyle name="Normal 5_4th 11-12" xfId="1114"/>
    <cellStyle name="Normal 6" xfId="32"/>
    <cellStyle name="Normal 6 2" xfId="111"/>
    <cellStyle name="Normal 6 2 2" xfId="129"/>
    <cellStyle name="Normal 6 3" xfId="1115"/>
    <cellStyle name="Normal 6 4" xfId="1116"/>
    <cellStyle name="Normal 6 5" xfId="1117"/>
    <cellStyle name="Normal 6 6" xfId="1118"/>
    <cellStyle name="Normal 6 7" xfId="1119"/>
    <cellStyle name="Normal 7" xfId="33"/>
    <cellStyle name="Normal 7 2" xfId="34"/>
    <cellStyle name="Normal 7 3" xfId="1120"/>
    <cellStyle name="Normal 7 3 2" xfId="44"/>
    <cellStyle name="Normal 8" xfId="35"/>
    <cellStyle name="Normal 8 2" xfId="36"/>
    <cellStyle name="Normal 8 2 2" xfId="1121"/>
    <cellStyle name="Normal 8 2 3" xfId="1122"/>
    <cellStyle name="Normal 8 3" xfId="1123"/>
    <cellStyle name="Normal 8 4" xfId="1124"/>
    <cellStyle name="Normal 9" xfId="112"/>
    <cellStyle name="Normal_Alandur Detail 2 2" xfId="143"/>
    <cellStyle name="Normal_chengai" xfId="141"/>
    <cellStyle name="Normal_June-2004" xfId="140"/>
    <cellStyle name="Normal_Phase XI QS" xfId="37"/>
    <cellStyle name="Normal_Phase XI QS 2 3" xfId="145"/>
    <cellStyle name="Note 10" xfId="1125"/>
    <cellStyle name="Note 11" xfId="1126"/>
    <cellStyle name="Note 2" xfId="113"/>
    <cellStyle name="Note 3" xfId="1127"/>
    <cellStyle name="Note 4" xfId="1128"/>
    <cellStyle name="Note 5" xfId="1129"/>
    <cellStyle name="Note 6" xfId="1130"/>
    <cellStyle name="Note 7" xfId="1131"/>
    <cellStyle name="Note 8" xfId="1132"/>
    <cellStyle name="Note 9" xfId="1133"/>
    <cellStyle name="Output 10" xfId="1134"/>
    <cellStyle name="Output 10 2" xfId="1135"/>
    <cellStyle name="Output 11" xfId="1136"/>
    <cellStyle name="Output 2" xfId="114"/>
    <cellStyle name="Output 2 2" xfId="1137"/>
    <cellStyle name="Output 2 3" xfId="1138"/>
    <cellStyle name="Output 3" xfId="1139"/>
    <cellStyle name="Output 3 2" xfId="1140"/>
    <cellStyle name="Output 3 3" xfId="1141"/>
    <cellStyle name="Output 4" xfId="1142"/>
    <cellStyle name="Output 4 2" xfId="1143"/>
    <cellStyle name="Output 4 3" xfId="1144"/>
    <cellStyle name="Output 5" xfId="1145"/>
    <cellStyle name="Output 5 2" xfId="1146"/>
    <cellStyle name="Output 5 3" xfId="1147"/>
    <cellStyle name="Output 6" xfId="1148"/>
    <cellStyle name="Output 6 2" xfId="1149"/>
    <cellStyle name="Output 6 3" xfId="1150"/>
    <cellStyle name="Output 7" xfId="1151"/>
    <cellStyle name="Output 7 2" xfId="1152"/>
    <cellStyle name="Output 7 3" xfId="1153"/>
    <cellStyle name="Output 8" xfId="1154"/>
    <cellStyle name="Output 8 2" xfId="1155"/>
    <cellStyle name="Output 8 3" xfId="1156"/>
    <cellStyle name="Output 9" xfId="1157"/>
    <cellStyle name="Output 9 2" xfId="1158"/>
    <cellStyle name="Output 9 3" xfId="1159"/>
    <cellStyle name="Percent [2]" xfId="38"/>
    <cellStyle name="Percent 2" xfId="39"/>
    <cellStyle name="Percent 3" xfId="40"/>
    <cellStyle name="Percent 3 2" xfId="1160"/>
    <cellStyle name="Percent 4" xfId="1161"/>
    <cellStyle name="Percent 5" xfId="1162"/>
    <cellStyle name="Percent 6" xfId="1163"/>
    <cellStyle name="Style 1" xfId="41"/>
    <cellStyle name="Times New Roman" xfId="42"/>
    <cellStyle name="Title 10" xfId="1164"/>
    <cellStyle name="Title 10 2" xfId="1165"/>
    <cellStyle name="Title 11" xfId="1166"/>
    <cellStyle name="Title 2" xfId="115"/>
    <cellStyle name="Title 2 2" xfId="1167"/>
    <cellStyle name="Title 2 3" xfId="1168"/>
    <cellStyle name="Title 3" xfId="1169"/>
    <cellStyle name="Title 3 2" xfId="1170"/>
    <cellStyle name="Title 3 3" xfId="1171"/>
    <cellStyle name="Title 4" xfId="1172"/>
    <cellStyle name="Title 4 2" xfId="1173"/>
    <cellStyle name="Title 4 3" xfId="1174"/>
    <cellStyle name="Title 5" xfId="1175"/>
    <cellStyle name="Title 5 2" xfId="1176"/>
    <cellStyle name="Title 5 3" xfId="1177"/>
    <cellStyle name="Title 6" xfId="1178"/>
    <cellStyle name="Title 6 2" xfId="1179"/>
    <cellStyle name="Title 6 3" xfId="1180"/>
    <cellStyle name="Title 7" xfId="1181"/>
    <cellStyle name="Title 7 2" xfId="1182"/>
    <cellStyle name="Title 7 3" xfId="1183"/>
    <cellStyle name="Title 8" xfId="1184"/>
    <cellStyle name="Title 8 2" xfId="1185"/>
    <cellStyle name="Title 8 3" xfId="1186"/>
    <cellStyle name="Title 9" xfId="1187"/>
    <cellStyle name="Title 9 2" xfId="1188"/>
    <cellStyle name="Title 9 3" xfId="1189"/>
    <cellStyle name="Total 10" xfId="1190"/>
    <cellStyle name="Total 10 2" xfId="1191"/>
    <cellStyle name="Total 11" xfId="1192"/>
    <cellStyle name="Total 2" xfId="116"/>
    <cellStyle name="Total 2 2" xfId="1193"/>
    <cellStyle name="Total 2 3" xfId="1194"/>
    <cellStyle name="Total 3" xfId="1195"/>
    <cellStyle name="Total 3 2" xfId="1196"/>
    <cellStyle name="Total 3 3" xfId="1197"/>
    <cellStyle name="Total 4" xfId="1198"/>
    <cellStyle name="Total 4 2" xfId="1199"/>
    <cellStyle name="Total 4 3" xfId="1200"/>
    <cellStyle name="Total 5" xfId="1201"/>
    <cellStyle name="Total 5 2" xfId="1202"/>
    <cellStyle name="Total 5 3" xfId="1203"/>
    <cellStyle name="Total 6" xfId="1204"/>
    <cellStyle name="Total 6 2" xfId="1205"/>
    <cellStyle name="Total 6 3" xfId="1206"/>
    <cellStyle name="Total 7" xfId="1207"/>
    <cellStyle name="Total 7 2" xfId="1208"/>
    <cellStyle name="Total 7 3" xfId="1209"/>
    <cellStyle name="Total 8" xfId="1210"/>
    <cellStyle name="Total 8 2" xfId="1211"/>
    <cellStyle name="Total 8 3" xfId="1212"/>
    <cellStyle name="Total 9" xfId="1213"/>
    <cellStyle name="Total 9 2" xfId="1214"/>
    <cellStyle name="Total 9 3" xfId="1215"/>
    <cellStyle name="Warning Text 10" xfId="1216"/>
    <cellStyle name="Warning Text 10 2" xfId="1217"/>
    <cellStyle name="Warning Text 11" xfId="1218"/>
    <cellStyle name="Warning Text 2" xfId="117"/>
    <cellStyle name="Warning Text 2 2" xfId="1219"/>
    <cellStyle name="Warning Text 2 3" xfId="1220"/>
    <cellStyle name="Warning Text 3" xfId="1221"/>
    <cellStyle name="Warning Text 3 2" xfId="1222"/>
    <cellStyle name="Warning Text 3 3" xfId="1223"/>
    <cellStyle name="Warning Text 4" xfId="1224"/>
    <cellStyle name="Warning Text 4 2" xfId="1225"/>
    <cellStyle name="Warning Text 4 3" xfId="1226"/>
    <cellStyle name="Warning Text 5" xfId="1227"/>
    <cellStyle name="Warning Text 5 2" xfId="1228"/>
    <cellStyle name="Warning Text 5 3" xfId="1229"/>
    <cellStyle name="Warning Text 6" xfId="1230"/>
    <cellStyle name="Warning Text 6 2" xfId="1231"/>
    <cellStyle name="Warning Text 6 3" xfId="1232"/>
    <cellStyle name="Warning Text 7" xfId="1233"/>
    <cellStyle name="Warning Text 7 2" xfId="1234"/>
    <cellStyle name="Warning Text 7 3" xfId="1235"/>
    <cellStyle name="Warning Text 8" xfId="1236"/>
    <cellStyle name="Warning Text 8 2" xfId="1237"/>
    <cellStyle name="Warning Text 8 3" xfId="1238"/>
    <cellStyle name="Warning Text 9" xfId="1239"/>
    <cellStyle name="Warning Text 9 2" xfId="1240"/>
    <cellStyle name="Warning Text 9 3" xfId="1241"/>
  </cellStyles>
  <dxfs count="0"/>
  <tableStyles count="0" defaultTableStyle="TableStyleMedium9" defaultPivotStyle="PivotStyleLight16"/>
  <colors>
    <mruColors>
      <color rgb="FFFFFF66"/>
      <color rgb="FF000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mputer\Desktop\Desktop\K.Pudur%20Police%20Station\Compound%20wall\D%20Drive\Moorthi%20JE\Silaiman%20Filling\SILAIMAN%20Detailed%2022.11.16\TNPHC(II)\R.WALL,%20FILLING%20%20GRAVEL%20EST%20VMBK%20%20QRS\x%20Rural_Library_Building2007-08(E.RAMANATHAPURAM)28-06-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Vambay%20Phase-IV%20Estimates\VELLAKOI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ENOVO\Desktop\Final%20100Nos%20PCHC%20Quarters%20Bryant%20Nager%20Thoothukudi%20SR%202023-24%2020.09.202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ural Library building Abs"/>
      <sheetName val="Rural Library building"/>
      <sheetName val="Lead"/>
      <sheetName val="Data"/>
      <sheetName val="SoR7-8"/>
      <sheetName val="lead Plains"/>
      <sheetName val="SPECFI"/>
      <sheetName val="Spec"/>
    </sheetNames>
    <sheetDataSet>
      <sheetData sheetId="0"/>
      <sheetData sheetId="1"/>
      <sheetData sheetId="2"/>
      <sheetData sheetId="3"/>
      <sheetData sheetId="4"/>
      <sheetData sheetId="5"/>
      <sheetData sheetId="6"/>
      <sheetData sheetId="7">
        <row r="5">
          <cell r="B5" t="str">
            <v>Earth work Excavation for Foundation in all soils and Sub Soil to full depth as may be directed except in hard rock requiring blasting but inclusive of shoring strutting and requiring the sides of foundation.</v>
          </cell>
        </row>
        <row r="12">
          <cell r="B12" t="str">
            <v>Cement concrete 1:1.5:3 using 20mm ISS HBG metal for all RCC item of works excluding cost of Rein forcement and fabricating charges, centering and shuttering but including curing and providing fixtures like fan clamps in the RCC floor or roof slabs wherev</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
      <sheetName val="Feed"/>
      <sheetName val="detailed Pro"/>
      <sheetName val="abstract Pro"/>
      <sheetName val="abstract Pro (2)"/>
      <sheetName val="Lead statement"/>
      <sheetName val="Spec"/>
      <sheetName val="Input Data"/>
      <sheetName val="Pond_Estimate"/>
      <sheetName val="Labour"/>
      <sheetName val="IS 3370-DsnTable 9 &amp; 10"/>
      <sheetName val="IS 3370-DsnTable 12 &amp; 13"/>
      <sheetName val="Table 21-IS3370-Pt4"/>
      <sheetName val="Tables"/>
      <sheetName val="._08_09 _Flat Roof___ls___08_09"/>
      <sheetName val="LEAD"/>
      <sheetName val="InputData"/>
      <sheetName val="Specification"/>
      <sheetName val="Specifications"/>
      <sheetName val="CD Data"/>
      <sheetName val="Road Detail Est."/>
      <sheetName val="Road data"/>
      <sheetName val="Rate"/>
      <sheetName val="Bit,cement,steel rate"/>
      <sheetName val="Earth work"/>
      <sheetName val="Detail"/>
      <sheetName val="Input"/>
      <sheetName val="Rwall design"/>
      <sheetName val="PD-FD"/>
      <sheetName val="CD Average rate"/>
      <sheetName val="CD Detail (2)"/>
      <sheetName val="Material "/>
      <sheetName val="Labour &amp; Plant"/>
      <sheetName val="Input "/>
      <sheetName val="RMR"/>
      <sheetName val="r"/>
      <sheetName val="state wmm"/>
    </sheetNames>
    <sheetDataSet>
      <sheetData sheetId="0">
        <row r="195">
          <cell r="X195" t="str">
            <v xml:space="preserve">DATA FOR THE YEAR 2004 - 2005 FOR </v>
          </cell>
        </row>
        <row r="196">
          <cell r="X196" t="str">
            <v xml:space="preserve">SIVANATHAPURAM, AMMAN KOIL STREET &amp; MAHALIAMMAN KOIL STREET in VELLAKOIL MUNICIPALITY, ERODE </v>
          </cell>
        </row>
        <row r="197">
          <cell r="X197" t="str">
            <v>Sl No</v>
          </cell>
          <cell r="Y197" t="str">
            <v>Qty.</v>
          </cell>
          <cell r="AA197" t="str">
            <v>Description</v>
          </cell>
          <cell r="AB197" t="str">
            <v xml:space="preserve">Rate </v>
          </cell>
          <cell r="AC197" t="str">
            <v>Unit</v>
          </cell>
          <cell r="AD197" t="str">
            <v>Amount</v>
          </cell>
        </row>
        <row r="199">
          <cell r="X199">
            <v>1</v>
          </cell>
          <cell r="Y199" t="str">
            <v>Cement mortar 1:2 for 1 M³</v>
          </cell>
        </row>
        <row r="200">
          <cell r="Y200">
            <v>0.72</v>
          </cell>
          <cell r="Z200" t="str">
            <v>MT</v>
          </cell>
          <cell r="AA200" t="str">
            <v>Cement</v>
          </cell>
          <cell r="AB200">
            <v>2840</v>
          </cell>
          <cell r="AC200" t="str">
            <v>1M.T.</v>
          </cell>
          <cell r="AD200">
            <v>2044.8</v>
          </cell>
        </row>
        <row r="201">
          <cell r="Y201">
            <v>1</v>
          </cell>
          <cell r="Z201" t="str">
            <v>M³</v>
          </cell>
          <cell r="AA201" t="str">
            <v>Sand for mortar</v>
          </cell>
          <cell r="AB201">
            <v>165.6</v>
          </cell>
          <cell r="AC201" t="str">
            <v>1M³</v>
          </cell>
          <cell r="AD201">
            <v>165.6</v>
          </cell>
        </row>
        <row r="202">
          <cell r="Y202">
            <v>1</v>
          </cell>
          <cell r="Z202" t="str">
            <v>M³</v>
          </cell>
          <cell r="AA202" t="str">
            <v>Mixing charges</v>
          </cell>
          <cell r="AB202">
            <v>26</v>
          </cell>
          <cell r="AC202" t="str">
            <v>1M³</v>
          </cell>
          <cell r="AD202">
            <v>26</v>
          </cell>
        </row>
        <row r="204">
          <cell r="AC204" t="str">
            <v>Total=</v>
          </cell>
          <cell r="AD204">
            <v>2236.4</v>
          </cell>
        </row>
        <row r="205">
          <cell r="X205">
            <v>2</v>
          </cell>
          <cell r="Y205" t="str">
            <v>Cement mortar 1:3 for 1 M³</v>
          </cell>
        </row>
        <row r="206">
          <cell r="Y206">
            <v>0.48</v>
          </cell>
          <cell r="Z206" t="str">
            <v>MT</v>
          </cell>
          <cell r="AA206" t="str">
            <v>Cement</v>
          </cell>
          <cell r="AB206">
            <v>2840</v>
          </cell>
          <cell r="AC206" t="str">
            <v>1M.T.</v>
          </cell>
          <cell r="AD206">
            <v>1363.2</v>
          </cell>
        </row>
        <row r="207">
          <cell r="Y207">
            <v>1</v>
          </cell>
          <cell r="Z207" t="str">
            <v>M³</v>
          </cell>
          <cell r="AA207" t="str">
            <v>Sand for mortar</v>
          </cell>
          <cell r="AB207">
            <v>165.6</v>
          </cell>
          <cell r="AC207" t="str">
            <v>1M³</v>
          </cell>
          <cell r="AD207">
            <v>165.6</v>
          </cell>
        </row>
        <row r="208">
          <cell r="Y208">
            <v>1</v>
          </cell>
          <cell r="Z208" t="str">
            <v>M³</v>
          </cell>
          <cell r="AA208" t="str">
            <v>Mixing charges</v>
          </cell>
          <cell r="AB208">
            <v>26</v>
          </cell>
          <cell r="AC208" t="str">
            <v>1M³</v>
          </cell>
          <cell r="AD208">
            <v>26</v>
          </cell>
        </row>
        <row r="210">
          <cell r="AC210" t="str">
            <v>Total=</v>
          </cell>
          <cell r="AD210">
            <v>1554.8</v>
          </cell>
        </row>
        <row r="211">
          <cell r="X211">
            <v>3</v>
          </cell>
          <cell r="Y211" t="str">
            <v>Cement mortar 1:4 for 1 M³</v>
          </cell>
        </row>
        <row r="212">
          <cell r="Y212">
            <v>0.36</v>
          </cell>
          <cell r="Z212" t="str">
            <v>MT</v>
          </cell>
          <cell r="AA212" t="str">
            <v>Cement</v>
          </cell>
          <cell r="AB212">
            <v>2840</v>
          </cell>
          <cell r="AC212" t="str">
            <v>1M.T.</v>
          </cell>
          <cell r="AD212">
            <v>1022.4</v>
          </cell>
        </row>
        <row r="213">
          <cell r="Y213">
            <v>1</v>
          </cell>
          <cell r="Z213" t="str">
            <v>M³</v>
          </cell>
          <cell r="AA213" t="str">
            <v>Sand for mortar</v>
          </cell>
          <cell r="AB213">
            <v>165.6</v>
          </cell>
          <cell r="AC213" t="str">
            <v>1M³</v>
          </cell>
          <cell r="AD213">
            <v>165.6</v>
          </cell>
        </row>
        <row r="214">
          <cell r="Y214">
            <v>1</v>
          </cell>
          <cell r="Z214" t="str">
            <v>M³</v>
          </cell>
          <cell r="AA214" t="str">
            <v>Mixing charges</v>
          </cell>
          <cell r="AB214">
            <v>26</v>
          </cell>
          <cell r="AC214" t="str">
            <v>1M³</v>
          </cell>
          <cell r="AD214">
            <v>26</v>
          </cell>
        </row>
        <row r="216">
          <cell r="AC216" t="str">
            <v>Total=</v>
          </cell>
          <cell r="AD216">
            <v>1214</v>
          </cell>
        </row>
        <row r="217">
          <cell r="X217">
            <v>4</v>
          </cell>
          <cell r="Y217" t="str">
            <v>Cement mortar 1:5 for 1 M³</v>
          </cell>
        </row>
        <row r="218">
          <cell r="Y218">
            <v>0.28799999999999998</v>
          </cell>
          <cell r="Z218" t="str">
            <v>MT</v>
          </cell>
          <cell r="AA218" t="str">
            <v>Cement</v>
          </cell>
          <cell r="AB218">
            <v>2840</v>
          </cell>
          <cell r="AC218" t="str">
            <v>1M.T.</v>
          </cell>
          <cell r="AD218">
            <v>817.92</v>
          </cell>
        </row>
        <row r="219">
          <cell r="Y219">
            <v>1</v>
          </cell>
          <cell r="Z219" t="str">
            <v>M³</v>
          </cell>
          <cell r="AA219" t="str">
            <v>Sand for mortar</v>
          </cell>
          <cell r="AB219">
            <v>165.6</v>
          </cell>
          <cell r="AC219" t="str">
            <v>1M³</v>
          </cell>
          <cell r="AD219">
            <v>165.6</v>
          </cell>
        </row>
        <row r="220">
          <cell r="Y220">
            <v>1</v>
          </cell>
          <cell r="Z220" t="str">
            <v>M³</v>
          </cell>
          <cell r="AA220" t="str">
            <v>Mixing charges</v>
          </cell>
          <cell r="AB220">
            <v>26</v>
          </cell>
          <cell r="AC220" t="str">
            <v>1M³</v>
          </cell>
          <cell r="AD220">
            <v>26</v>
          </cell>
        </row>
        <row r="222">
          <cell r="AC222" t="str">
            <v>Total=</v>
          </cell>
          <cell r="AD222">
            <v>1009.52</v>
          </cell>
        </row>
        <row r="223">
          <cell r="X223">
            <v>5</v>
          </cell>
          <cell r="Y223" t="str">
            <v>Cement mortar 1:6 for 1 M³</v>
          </cell>
        </row>
        <row r="224">
          <cell r="Y224">
            <v>0.24</v>
          </cell>
          <cell r="Z224" t="str">
            <v>MT</v>
          </cell>
          <cell r="AA224" t="str">
            <v>Cement</v>
          </cell>
          <cell r="AB224">
            <v>2840</v>
          </cell>
          <cell r="AC224" t="str">
            <v>1M.T.</v>
          </cell>
          <cell r="AD224">
            <v>681.6</v>
          </cell>
        </row>
        <row r="225">
          <cell r="Y225">
            <v>1</v>
          </cell>
          <cell r="Z225" t="str">
            <v>M³</v>
          </cell>
          <cell r="AA225" t="str">
            <v>Sand for mortar</v>
          </cell>
          <cell r="AB225">
            <v>165.6</v>
          </cell>
          <cell r="AC225" t="str">
            <v>1M³</v>
          </cell>
          <cell r="AD225">
            <v>165.6</v>
          </cell>
        </row>
        <row r="226">
          <cell r="Y226">
            <v>1</v>
          </cell>
          <cell r="Z226" t="str">
            <v>M³</v>
          </cell>
          <cell r="AA226" t="str">
            <v>Mixing charges</v>
          </cell>
          <cell r="AB226">
            <v>26</v>
          </cell>
          <cell r="AC226" t="str">
            <v>1M³</v>
          </cell>
          <cell r="AD226">
            <v>26</v>
          </cell>
        </row>
        <row r="228">
          <cell r="AC228" t="str">
            <v>Total=</v>
          </cell>
          <cell r="AD228">
            <v>873.2</v>
          </cell>
        </row>
        <row r="230">
          <cell r="X230">
            <v>6</v>
          </cell>
          <cell r="Y230" t="str">
            <v>Earth work excavation for foundation with all leads and lifts in all soils and sub soils and to the required depth as may be directed except hard rock requiring blasting inclusive of shoring, strutting and bailing out water wherever necessary refilling th</v>
          </cell>
        </row>
        <row r="231">
          <cell r="Y231">
            <v>1</v>
          </cell>
          <cell r="Z231" t="str">
            <v>M³</v>
          </cell>
          <cell r="AA231" t="str">
            <v>Sand ordinary soil SS20B</v>
          </cell>
          <cell r="AB231">
            <v>16.399999999999999</v>
          </cell>
          <cell r="AC231" t="str">
            <v>1M³</v>
          </cell>
          <cell r="AD231">
            <v>16.399999999999999</v>
          </cell>
        </row>
        <row r="232">
          <cell r="Y232">
            <v>1</v>
          </cell>
          <cell r="Z232" t="str">
            <v>M³</v>
          </cell>
          <cell r="AA232" t="str">
            <v>Hard stiff clay SS20B</v>
          </cell>
          <cell r="AB232">
            <v>24.9</v>
          </cell>
          <cell r="AC232" t="str">
            <v>1M³</v>
          </cell>
          <cell r="AD232">
            <v>24.9</v>
          </cell>
        </row>
        <row r="234">
          <cell r="AD234">
            <v>41.3</v>
          </cell>
        </row>
        <row r="235">
          <cell r="AA235" t="str">
            <v>Average rate</v>
          </cell>
          <cell r="AB235">
            <v>41.3</v>
          </cell>
          <cell r="AC235" t="str">
            <v xml:space="preserve"> / 2</v>
          </cell>
          <cell r="AD235">
            <v>20.65</v>
          </cell>
        </row>
        <row r="237">
          <cell r="Y237">
            <v>1</v>
          </cell>
          <cell r="Z237" t="str">
            <v>M³</v>
          </cell>
          <cell r="AA237" t="str">
            <v>Double the relevant rate for narrow excavation</v>
          </cell>
          <cell r="AB237">
            <v>41.3</v>
          </cell>
          <cell r="AC237" t="str">
            <v>1M³</v>
          </cell>
          <cell r="AD237">
            <v>41.3</v>
          </cell>
        </row>
        <row r="238">
          <cell r="Y238">
            <v>0.33333333333333331</v>
          </cell>
          <cell r="Z238" t="str">
            <v>M³</v>
          </cell>
          <cell r="AA238" t="str">
            <v>Add 1/3 of refilling rate</v>
          </cell>
          <cell r="AB238">
            <v>8.75</v>
          </cell>
          <cell r="AC238" t="str">
            <v>1M³</v>
          </cell>
          <cell r="AD238">
            <v>2.92</v>
          </cell>
        </row>
        <row r="239">
          <cell r="AB239" t="str">
            <v>FOR  1  M³      =</v>
          </cell>
          <cell r="AD239">
            <v>44.22</v>
          </cell>
        </row>
        <row r="240">
          <cell r="X240">
            <v>7</v>
          </cell>
          <cell r="Y240" t="str">
            <v>Cement concrete 1:5:10 (One of cement, five of sand and ten of hard broken stone) using 40mm size hard broken stone inclusive of shoring, strutting, bailing out water, ramming, curing etc., complete in all respects as directed by the departmental officers</v>
          </cell>
        </row>
        <row r="241">
          <cell r="Y241">
            <v>9</v>
          </cell>
          <cell r="Z241" t="str">
            <v>M³</v>
          </cell>
          <cell r="AA241" t="str">
            <v>Hard broken granite stones 40mm-ISS</v>
          </cell>
          <cell r="AB241">
            <v>346.8</v>
          </cell>
          <cell r="AC241" t="str">
            <v>1M³</v>
          </cell>
          <cell r="AD241">
            <v>3121.2</v>
          </cell>
        </row>
        <row r="242">
          <cell r="Y242">
            <v>4.5</v>
          </cell>
          <cell r="Z242" t="str">
            <v>M³</v>
          </cell>
          <cell r="AA242" t="str">
            <v>Cement mortar 1:5</v>
          </cell>
          <cell r="AB242">
            <v>1009.52</v>
          </cell>
          <cell r="AC242" t="str">
            <v>1M³</v>
          </cell>
          <cell r="AD242">
            <v>4542.84</v>
          </cell>
        </row>
        <row r="243">
          <cell r="Y243">
            <v>1.8</v>
          </cell>
          <cell r="Z243" t="str">
            <v>No</v>
          </cell>
          <cell r="AA243" t="str">
            <v>Mason II class</v>
          </cell>
          <cell r="AB243">
            <v>126</v>
          </cell>
          <cell r="AC243" t="str">
            <v>Each</v>
          </cell>
          <cell r="AD243">
            <v>226.8</v>
          </cell>
        </row>
        <row r="244">
          <cell r="Y244">
            <v>17.7</v>
          </cell>
          <cell r="Z244" t="str">
            <v>No</v>
          </cell>
          <cell r="AA244" t="str">
            <v>Mazdoor category I</v>
          </cell>
          <cell r="AB244">
            <v>85</v>
          </cell>
          <cell r="AC244" t="str">
            <v>Each</v>
          </cell>
          <cell r="AD244">
            <v>1504.5</v>
          </cell>
        </row>
        <row r="245">
          <cell r="Y245">
            <v>14.1</v>
          </cell>
          <cell r="Z245" t="str">
            <v>No</v>
          </cell>
          <cell r="AA245" t="str">
            <v>Mazdoor category II</v>
          </cell>
          <cell r="AB245">
            <v>80</v>
          </cell>
          <cell r="AC245" t="str">
            <v>Each</v>
          </cell>
          <cell r="AD245">
            <v>1128</v>
          </cell>
        </row>
        <row r="247">
          <cell r="AB247" t="str">
            <v>FOR 10 M³      =</v>
          </cell>
          <cell r="AD247">
            <v>10523.34</v>
          </cell>
        </row>
        <row r="249">
          <cell r="AA249" t="str">
            <v>For foundation &amp; Basement</v>
          </cell>
          <cell r="AB249" t="str">
            <v>FOR  1  M³      =</v>
          </cell>
          <cell r="AD249">
            <v>1052.33</v>
          </cell>
        </row>
        <row r="251">
          <cell r="X251">
            <v>8</v>
          </cell>
          <cell r="Y251" t="str">
            <v>Cement concrete 1:2:4 (One of cement, two of sand and four of hard broken granite stones ) using 20mm gauge hard broken granite stones for all reinforced cement concrete works viz. Raft slabs, raft beams, column footing, plinth beam, lintel, square or cir</v>
          </cell>
        </row>
        <row r="252">
          <cell r="Y252">
            <v>9</v>
          </cell>
          <cell r="Z252" t="str">
            <v>M³</v>
          </cell>
          <cell r="AA252" t="str">
            <v xml:space="preserve">20 mm H.B.G.  ISS. Stone </v>
          </cell>
          <cell r="AB252">
            <v>421.8</v>
          </cell>
          <cell r="AC252" t="str">
            <v>1M³</v>
          </cell>
          <cell r="AD252">
            <v>3796.2</v>
          </cell>
        </row>
        <row r="253">
          <cell r="Y253">
            <v>4.5</v>
          </cell>
          <cell r="Z253" t="str">
            <v>M³</v>
          </cell>
          <cell r="AA253" t="str">
            <v>Sand for mortar</v>
          </cell>
          <cell r="AB253">
            <v>165.6</v>
          </cell>
          <cell r="AC253" t="str">
            <v>1M³</v>
          </cell>
          <cell r="AD253">
            <v>745.2</v>
          </cell>
        </row>
        <row r="254">
          <cell r="Y254">
            <v>3.2309999999999999</v>
          </cell>
          <cell r="Z254" t="str">
            <v>MT</v>
          </cell>
          <cell r="AA254" t="str">
            <v>Cement</v>
          </cell>
          <cell r="AB254">
            <v>2840</v>
          </cell>
          <cell r="AC254" t="str">
            <v>1MT</v>
          </cell>
          <cell r="AD254">
            <v>9176.0400000000009</v>
          </cell>
        </row>
        <row r="255">
          <cell r="Y255">
            <v>3.5</v>
          </cell>
          <cell r="Z255" t="str">
            <v>No</v>
          </cell>
          <cell r="AA255" t="str">
            <v>Mason II Class</v>
          </cell>
          <cell r="AB255">
            <v>126</v>
          </cell>
          <cell r="AC255" t="str">
            <v>Each</v>
          </cell>
          <cell r="AD255">
            <v>441</v>
          </cell>
        </row>
        <row r="256">
          <cell r="Y256">
            <v>21.2</v>
          </cell>
          <cell r="Z256" t="str">
            <v>No</v>
          </cell>
          <cell r="AA256" t="str">
            <v>Mazdoor Category I</v>
          </cell>
          <cell r="AB256">
            <v>85</v>
          </cell>
          <cell r="AC256" t="str">
            <v>Each</v>
          </cell>
          <cell r="AD256">
            <v>1802</v>
          </cell>
        </row>
        <row r="257">
          <cell r="Y257">
            <v>35.299999999999997</v>
          </cell>
          <cell r="Z257" t="str">
            <v>No</v>
          </cell>
          <cell r="AA257" t="str">
            <v>Mazdoor Category II</v>
          </cell>
          <cell r="AB257">
            <v>80</v>
          </cell>
          <cell r="AC257" t="str">
            <v>Each</v>
          </cell>
          <cell r="AD257">
            <v>2824</v>
          </cell>
        </row>
        <row r="259">
          <cell r="AA259" t="str">
            <v>Rate excluding vibration charges</v>
          </cell>
          <cell r="AB259" t="str">
            <v xml:space="preserve">FOR 10 M³    =     </v>
          </cell>
          <cell r="AD259">
            <v>18784.440000000002</v>
          </cell>
        </row>
        <row r="261">
          <cell r="AB261" t="str">
            <v xml:space="preserve"> FOR 1 M³     =</v>
          </cell>
          <cell r="AD261">
            <v>1878.44</v>
          </cell>
        </row>
        <row r="262">
          <cell r="AA262" t="str">
            <v>Add vibration charges</v>
          </cell>
          <cell r="AB262" t="str">
            <v xml:space="preserve"> FOR 1 M³     =</v>
          </cell>
          <cell r="AD262">
            <v>20.6</v>
          </cell>
        </row>
        <row r="264">
          <cell r="Z264" t="str">
            <v>A</v>
          </cell>
          <cell r="AA264" t="str">
            <v xml:space="preserve">In Foundation &amp; basement </v>
          </cell>
          <cell r="AB264" t="str">
            <v xml:space="preserve"> FOR 1 M³     =</v>
          </cell>
          <cell r="AD264">
            <v>1899.04</v>
          </cell>
        </row>
        <row r="265">
          <cell r="AA265" t="str">
            <v>Add for lift charges</v>
          </cell>
          <cell r="AC265" t="str">
            <v>`</v>
          </cell>
          <cell r="AD265">
            <v>26.3</v>
          </cell>
        </row>
        <row r="266">
          <cell r="Z266" t="str">
            <v>B</v>
          </cell>
          <cell r="AA266" t="str">
            <v>In Ground floor</v>
          </cell>
          <cell r="AB266" t="str">
            <v xml:space="preserve"> FOR 1 M³     =</v>
          </cell>
          <cell r="AD266">
            <v>1925.34</v>
          </cell>
        </row>
        <row r="268">
          <cell r="X268">
            <v>9</v>
          </cell>
          <cell r="Y268" t="str">
            <v>Reinforced cement concrete 1:2:4 (One of cement, two of sand and four of hard broken granite stones ) using 20mm gauge hard broken granite stones for petty works excluding the cost and fabrication  of reinforcement grills in position but including cost of</v>
          </cell>
        </row>
        <row r="269">
          <cell r="Y269">
            <v>1</v>
          </cell>
          <cell r="Z269" t="str">
            <v>M³</v>
          </cell>
          <cell r="AA269" t="str">
            <v>RCC 1:2:4 (without vibration charges)</v>
          </cell>
          <cell r="AB269">
            <v>1878.44</v>
          </cell>
          <cell r="AC269" t="str">
            <v>1M³</v>
          </cell>
          <cell r="AD269">
            <v>1878.44</v>
          </cell>
        </row>
        <row r="270">
          <cell r="Y270" t="str">
            <v xml:space="preserve">               LS</v>
          </cell>
          <cell r="AA270" t="str">
            <v>Sundries including cost of casting, moulding,curing,finishing etc.</v>
          </cell>
          <cell r="AB270" t="str">
            <v xml:space="preserve">               LS</v>
          </cell>
          <cell r="AD270">
            <v>61.559999999999945</v>
          </cell>
        </row>
        <row r="272">
          <cell r="AA272" t="str">
            <v>In all Floors</v>
          </cell>
          <cell r="AB272" t="str">
            <v xml:space="preserve"> FOR 1 M³     =</v>
          </cell>
          <cell r="AD272">
            <v>1940</v>
          </cell>
        </row>
        <row r="274">
          <cell r="X274">
            <v>10</v>
          </cell>
          <cell r="Y274" t="str">
            <v>Fabricating and placing the following kinds of steel grills for reinforcement for all reinforced cement concrete works such as plinth beam, lintels, beams, sunshade, roof and floor slabs etc., including cost of steel and fabricating the reinforcement gril</v>
          </cell>
        </row>
        <row r="275">
          <cell r="X275" t="str">
            <v>a)</v>
          </cell>
          <cell r="Y275" t="str">
            <v>Steel upto 16mm dia - 100 Kg.</v>
          </cell>
        </row>
        <row r="276">
          <cell r="Y276">
            <v>0.1</v>
          </cell>
          <cell r="Z276" t="str">
            <v>MT</v>
          </cell>
          <cell r="AA276" t="str">
            <v>Steel upto 16mm dia</v>
          </cell>
          <cell r="AB276">
            <v>28000</v>
          </cell>
          <cell r="AC276" t="str">
            <v>1MT</v>
          </cell>
          <cell r="AD276">
            <v>2800</v>
          </cell>
        </row>
        <row r="277">
          <cell r="Y277">
            <v>1</v>
          </cell>
          <cell r="Z277" t="str">
            <v>KG</v>
          </cell>
          <cell r="AA277" t="str">
            <v>Binding wire</v>
          </cell>
          <cell r="AB277">
            <v>30</v>
          </cell>
          <cell r="AC277" t="str">
            <v>1KG</v>
          </cell>
          <cell r="AD277">
            <v>30</v>
          </cell>
        </row>
        <row r="278">
          <cell r="Y278">
            <v>3.5</v>
          </cell>
          <cell r="Z278" t="str">
            <v>No</v>
          </cell>
          <cell r="AA278" t="str">
            <v>Fitter I class for bar bending,tying</v>
          </cell>
          <cell r="AB278">
            <v>106</v>
          </cell>
          <cell r="AC278" t="str">
            <v>Each</v>
          </cell>
          <cell r="AD278">
            <v>371</v>
          </cell>
        </row>
        <row r="280">
          <cell r="AB280" t="str">
            <v>FOR 100KG    =</v>
          </cell>
          <cell r="AD280">
            <v>3201</v>
          </cell>
        </row>
        <row r="282">
          <cell r="AB282" t="str">
            <v>FOR 1 M.T.     =</v>
          </cell>
          <cell r="AD282">
            <v>32010</v>
          </cell>
        </row>
        <row r="284">
          <cell r="X284" t="str">
            <v>b)</v>
          </cell>
          <cell r="Y284" t="str">
            <v>Steel above 16mm dia - 100Kg.</v>
          </cell>
        </row>
        <row r="285">
          <cell r="Y285">
            <v>0.1</v>
          </cell>
          <cell r="Z285" t="str">
            <v>MT</v>
          </cell>
          <cell r="AA285" t="str">
            <v>Steel above 16mm dia</v>
          </cell>
          <cell r="AB285">
            <v>24000</v>
          </cell>
          <cell r="AC285" t="str">
            <v>1MT</v>
          </cell>
          <cell r="AD285">
            <v>2400</v>
          </cell>
        </row>
        <row r="286">
          <cell r="Y286">
            <v>1</v>
          </cell>
          <cell r="Z286" t="str">
            <v>KG</v>
          </cell>
          <cell r="AA286" t="str">
            <v>Binding wire</v>
          </cell>
          <cell r="AB286">
            <v>30</v>
          </cell>
          <cell r="AC286" t="str">
            <v>1KG</v>
          </cell>
          <cell r="AD286">
            <v>30</v>
          </cell>
        </row>
        <row r="287">
          <cell r="Y287">
            <v>3.5</v>
          </cell>
          <cell r="Z287" t="str">
            <v>No</v>
          </cell>
          <cell r="AA287" t="str">
            <v>Fitter I class for bar bending,tying</v>
          </cell>
          <cell r="AB287">
            <v>106</v>
          </cell>
          <cell r="AC287" t="str">
            <v>Each</v>
          </cell>
          <cell r="AD287">
            <v>371</v>
          </cell>
        </row>
        <row r="289">
          <cell r="AB289" t="str">
            <v>FOR 100KG    =</v>
          </cell>
          <cell r="AD289">
            <v>2801</v>
          </cell>
        </row>
        <row r="291">
          <cell r="AB291" t="str">
            <v>FOR 1 M.T.     =</v>
          </cell>
          <cell r="AD291">
            <v>28010</v>
          </cell>
        </row>
        <row r="293">
          <cell r="X293">
            <v>11</v>
          </cell>
          <cell r="Y293" t="str">
            <v>Providing form work for  all reinforced cement concrete works like lintels, beams,etc., including strutting 3M high using Mild steel sheets of size 90cm × 60cm and B.G. 10, stiffened with Mild steel Angles of size 25mm × 25mm × 3mm laid over Silver oak (c</v>
          </cell>
        </row>
        <row r="294">
          <cell r="Y294" t="str">
            <v>cost of M.S. Sheet and angles for each set weight of M.S.Sheet B.G. 10 of size 90cm × 60cm × 3.175mm (3.175mm thick)</v>
          </cell>
        </row>
        <row r="295">
          <cell r="Y295" t="str">
            <v>(Weight of M.S.Sheet =7850 kg/ M³)</v>
          </cell>
        </row>
        <row r="296">
          <cell r="Y296" t="str">
            <v>3.175mm × 7850kg/ 1000cm³=24.924kg × 0.54M²=13.46kg.</v>
          </cell>
        </row>
        <row r="297">
          <cell r="Y297" t="str">
            <v>weight of M.S.angles of size 25mm × 25mm × 3mm= 3.6M × 1.10kg/ M= 4kg</v>
          </cell>
        </row>
        <row r="298">
          <cell r="Y298" t="str">
            <v>SUB DATA 1 FOR COST OF ONE SHEET WITH ANGLES</v>
          </cell>
        </row>
        <row r="299">
          <cell r="Y299">
            <v>13.46</v>
          </cell>
          <cell r="Z299" t="str">
            <v>kg</v>
          </cell>
          <cell r="AA299" t="str">
            <v>Cost of M.S. Sheet</v>
          </cell>
          <cell r="AB299">
            <v>30</v>
          </cell>
          <cell r="AC299" t="str">
            <v>1Kg</v>
          </cell>
          <cell r="AD299">
            <v>403.8</v>
          </cell>
        </row>
        <row r="300">
          <cell r="Y300">
            <v>4</v>
          </cell>
          <cell r="Z300" t="str">
            <v>kg</v>
          </cell>
          <cell r="AA300" t="str">
            <v>Cost of M.S. Angles</v>
          </cell>
          <cell r="AB300">
            <v>30</v>
          </cell>
          <cell r="AC300" t="str">
            <v>1Kg</v>
          </cell>
          <cell r="AD300">
            <v>120</v>
          </cell>
        </row>
        <row r="301">
          <cell r="Y301" t="str">
            <v>L.S.</v>
          </cell>
          <cell r="AA301" t="str">
            <v>Add for cutting, bending, welding etc.,</v>
          </cell>
          <cell r="AC301" t="str">
            <v>L.S.</v>
          </cell>
          <cell r="AD301">
            <v>26.2</v>
          </cell>
        </row>
        <row r="302">
          <cell r="AB302" t="str">
            <v>FOR 1No  =</v>
          </cell>
          <cell r="AD302">
            <v>550</v>
          </cell>
        </row>
        <row r="303">
          <cell r="Y303" t="str">
            <v xml:space="preserve">SUB DATA 2 FOR COST OF M.S. SHEETS AND ANGLES FOR 1 USE ADOPTING 40 USES - 10M² </v>
          </cell>
        </row>
        <row r="304">
          <cell r="Y304">
            <v>19</v>
          </cell>
          <cell r="Z304" t="str">
            <v>nos</v>
          </cell>
          <cell r="AA304" t="str">
            <v>Cost of M.S.Sheet and Angle for 40 Uses</v>
          </cell>
          <cell r="AB304">
            <v>550</v>
          </cell>
          <cell r="AC304" t="str">
            <v>Each</v>
          </cell>
          <cell r="AD304">
            <v>10450</v>
          </cell>
        </row>
        <row r="306">
          <cell r="Y306" t="str">
            <v>Hence cost of M.S.Sheet and Angle for 1 Use =</v>
          </cell>
          <cell r="AB306">
            <v>10450</v>
          </cell>
          <cell r="AC306" t="str">
            <v xml:space="preserve"> ÷ 40   = </v>
          </cell>
          <cell r="AD306">
            <v>261.25</v>
          </cell>
        </row>
        <row r="308">
          <cell r="Y308" t="str">
            <v xml:space="preserve">SUB DATA 3 FOR COST OF  SILVER OAK JOISTS AND CASURINA PROPS ADOPTING 5 USES - 10M² </v>
          </cell>
        </row>
        <row r="309">
          <cell r="Y309">
            <v>0.12</v>
          </cell>
          <cell r="Z309" t="str">
            <v>M³</v>
          </cell>
          <cell r="AA309" t="str">
            <v>Silver oak (C.W.) joists 10cm × 6.5cm at about 90cm c/c</v>
          </cell>
          <cell r="AB309">
            <v>9300</v>
          </cell>
          <cell r="AC309" t="str">
            <v>1M³</v>
          </cell>
          <cell r="AD309">
            <v>1116</v>
          </cell>
        </row>
        <row r="310">
          <cell r="Y310">
            <v>98.5</v>
          </cell>
          <cell r="Z310" t="str">
            <v>RM</v>
          </cell>
          <cell r="AA310" t="str">
            <v>Casurina poles 10cm to 13cm dia at about 75cm c/c</v>
          </cell>
          <cell r="AB310">
            <v>15</v>
          </cell>
          <cell r="AC310" t="str">
            <v>1RM</v>
          </cell>
          <cell r="AD310">
            <v>1477.5</v>
          </cell>
        </row>
        <row r="311">
          <cell r="AA311" t="str">
            <v>FOR 5 USES OF 10M²  =</v>
          </cell>
          <cell r="AD311">
            <v>2593.5</v>
          </cell>
        </row>
        <row r="313">
          <cell r="Y313" t="str">
            <v>Hence cost of silver oak joists and casurina props for 1 Use =</v>
          </cell>
          <cell r="AB313">
            <v>2593.5</v>
          </cell>
          <cell r="AC313" t="str">
            <v xml:space="preserve"> ÷ 5   = </v>
          </cell>
          <cell r="AD313">
            <v>518.70000000000005</v>
          </cell>
        </row>
        <row r="314">
          <cell r="Y314" t="str">
            <v>MAIN DATA FOR CENTERING FOR  10M²</v>
          </cell>
        </row>
        <row r="315">
          <cell r="Y315">
            <v>10</v>
          </cell>
          <cell r="Z315" t="str">
            <v>M²</v>
          </cell>
          <cell r="AA315" t="str">
            <v xml:space="preserve"> M.S.Sheet and Angle for 1 Use </v>
          </cell>
          <cell r="AB315">
            <v>261.25</v>
          </cell>
          <cell r="AC315" t="str">
            <v>10M²</v>
          </cell>
          <cell r="AD315">
            <v>261.25</v>
          </cell>
        </row>
        <row r="316">
          <cell r="Y316">
            <v>10</v>
          </cell>
          <cell r="Z316" t="str">
            <v>M²</v>
          </cell>
          <cell r="AA316" t="str">
            <v xml:space="preserve">Silver oak joists and casurina props for 1 Use </v>
          </cell>
          <cell r="AB316">
            <v>518.70000000000005</v>
          </cell>
          <cell r="AC316" t="str">
            <v>10M²</v>
          </cell>
          <cell r="AD316">
            <v>518.70000000000005</v>
          </cell>
        </row>
        <row r="317">
          <cell r="Y317">
            <v>3.8</v>
          </cell>
          <cell r="Z317" t="str">
            <v>Nos</v>
          </cell>
          <cell r="AA317" t="str">
            <v>Carpenter I class</v>
          </cell>
          <cell r="AB317">
            <v>148</v>
          </cell>
          <cell r="AC317" t="str">
            <v>Each</v>
          </cell>
          <cell r="AD317">
            <v>562.4</v>
          </cell>
        </row>
        <row r="318">
          <cell r="Y318">
            <v>5.4</v>
          </cell>
          <cell r="Z318" t="str">
            <v>Nos</v>
          </cell>
          <cell r="AA318" t="str">
            <v>Mazdoor I class</v>
          </cell>
          <cell r="AB318">
            <v>85</v>
          </cell>
          <cell r="AC318" t="str">
            <v>Each</v>
          </cell>
          <cell r="AD318">
            <v>459</v>
          </cell>
        </row>
        <row r="319">
          <cell r="Y319">
            <v>1</v>
          </cell>
          <cell r="Z319" t="str">
            <v>No</v>
          </cell>
          <cell r="AA319" t="str">
            <v>Fitter II class</v>
          </cell>
          <cell r="AB319">
            <v>98</v>
          </cell>
          <cell r="AC319" t="str">
            <v>Each</v>
          </cell>
          <cell r="AD319">
            <v>98</v>
          </cell>
        </row>
        <row r="320">
          <cell r="Y320" t="str">
            <v>L.S.</v>
          </cell>
          <cell r="AA320" t="str">
            <v>Silver oak planks</v>
          </cell>
          <cell r="AB320" t="str">
            <v>L.S.</v>
          </cell>
          <cell r="AD320">
            <v>9</v>
          </cell>
        </row>
        <row r="321">
          <cell r="Y321" t="str">
            <v>L.S.</v>
          </cell>
          <cell r="AA321" t="str">
            <v>Wedges nails coir etc.,</v>
          </cell>
          <cell r="AB321" t="str">
            <v>L.S.</v>
          </cell>
          <cell r="AD321">
            <v>10</v>
          </cell>
        </row>
        <row r="322">
          <cell r="Y322" t="str">
            <v>L.S.</v>
          </cell>
          <cell r="AA322" t="str">
            <v>Periodical cleaning and painting of the MS Sheet &amp; angles</v>
          </cell>
          <cell r="AB322" t="str">
            <v>L.S.</v>
          </cell>
          <cell r="AD322">
            <v>50</v>
          </cell>
        </row>
        <row r="324">
          <cell r="AB324" t="str">
            <v>FOR 10 M²    =</v>
          </cell>
          <cell r="AD324">
            <v>1968.35</v>
          </cell>
        </row>
        <row r="326">
          <cell r="Z326" t="str">
            <v>a)</v>
          </cell>
          <cell r="AA326" t="str">
            <v>For Slabs, Lintels, Beams etc.</v>
          </cell>
          <cell r="AB326" t="str">
            <v>FOR 1 M²      =</v>
          </cell>
          <cell r="AD326">
            <v>196.84</v>
          </cell>
        </row>
        <row r="328">
          <cell r="Z328" t="str">
            <v>b)</v>
          </cell>
          <cell r="AA328" t="str">
            <v>For Plinth Beam/Raft Beam etc.not requiring strutting 3 metre high.</v>
          </cell>
          <cell r="AB328" t="str">
            <v>FOR 1 M²      =</v>
          </cell>
          <cell r="AD328">
            <v>98.42</v>
          </cell>
        </row>
        <row r="330">
          <cell r="X330">
            <v>12</v>
          </cell>
          <cell r="Y330" t="str">
            <v>Plastering the top of flooring with cement mortar 1:5 (One of cement and five of sand) 20mm thick including providing band cornice, finishing smooth, proper setting, curing etc., complete as directed by the departmental officers - 10M²</v>
          </cell>
        </row>
        <row r="331">
          <cell r="Y331">
            <v>0.22</v>
          </cell>
          <cell r="Z331" t="str">
            <v>M³</v>
          </cell>
          <cell r="AA331" t="str">
            <v>Cement Mortar 1:5</v>
          </cell>
          <cell r="AB331">
            <v>1009.52</v>
          </cell>
          <cell r="AC331" t="str">
            <v>1M³</v>
          </cell>
          <cell r="AD331">
            <v>222.09</v>
          </cell>
        </row>
        <row r="332">
          <cell r="Y332">
            <v>2.2000000000000002</v>
          </cell>
          <cell r="Z332" t="str">
            <v>No</v>
          </cell>
          <cell r="AA332" t="str">
            <v>Mason I class</v>
          </cell>
          <cell r="AB332">
            <v>148</v>
          </cell>
          <cell r="AC332" t="str">
            <v>Each</v>
          </cell>
          <cell r="AD332">
            <v>325.60000000000002</v>
          </cell>
        </row>
        <row r="333">
          <cell r="Y333">
            <v>0.5</v>
          </cell>
          <cell r="Z333" t="str">
            <v>No</v>
          </cell>
          <cell r="AA333" t="str">
            <v>Mazdoor I class</v>
          </cell>
          <cell r="AB333">
            <v>85</v>
          </cell>
          <cell r="AC333" t="str">
            <v>Each</v>
          </cell>
          <cell r="AD333">
            <v>42.5</v>
          </cell>
        </row>
        <row r="334">
          <cell r="Y334">
            <v>3.2</v>
          </cell>
          <cell r="Z334" t="str">
            <v>No</v>
          </cell>
          <cell r="AA334" t="str">
            <v>Mazdoor II class</v>
          </cell>
          <cell r="AB334">
            <v>80</v>
          </cell>
          <cell r="AC334" t="str">
            <v>Each</v>
          </cell>
          <cell r="AD334">
            <v>256</v>
          </cell>
        </row>
        <row r="335">
          <cell r="Y335" t="str">
            <v/>
          </cell>
        </row>
        <row r="336">
          <cell r="AB336" t="str">
            <v>FOR 10 M²    =</v>
          </cell>
          <cell r="AD336">
            <v>846.19</v>
          </cell>
        </row>
        <row r="338">
          <cell r="AA338" t="str">
            <v>In all Floors</v>
          </cell>
          <cell r="AB338" t="str">
            <v>FOR 1 M²      =</v>
          </cell>
          <cell r="AD338">
            <v>84.62</v>
          </cell>
        </row>
        <row r="340">
          <cell r="X340">
            <v>13</v>
          </cell>
          <cell r="Y340" t="str">
            <v>Plastering the walls with cement mortar 1:5 (One of cement and five of sand) 12mm thick including finishing smooth, scaffolding, setting, curing etc., complete as directed by the departmental officers - 10M².</v>
          </cell>
        </row>
        <row r="341">
          <cell r="Y341">
            <v>0.14000000000000001</v>
          </cell>
          <cell r="Z341" t="str">
            <v>M³</v>
          </cell>
          <cell r="AA341" t="str">
            <v>Cement Mortar 1:5</v>
          </cell>
          <cell r="AB341">
            <v>1009.52</v>
          </cell>
          <cell r="AC341" t="str">
            <v>1M³</v>
          </cell>
          <cell r="AD341">
            <v>141.33000000000001</v>
          </cell>
        </row>
        <row r="342">
          <cell r="Y342">
            <v>1.1000000000000001</v>
          </cell>
          <cell r="Z342" t="str">
            <v>No</v>
          </cell>
          <cell r="AA342" t="str">
            <v>Mason I class</v>
          </cell>
          <cell r="AB342">
            <v>148</v>
          </cell>
          <cell r="AC342" t="str">
            <v>Each</v>
          </cell>
          <cell r="AD342">
            <v>162.80000000000001</v>
          </cell>
        </row>
        <row r="343">
          <cell r="Y343">
            <v>0.5</v>
          </cell>
          <cell r="Z343" t="str">
            <v>No</v>
          </cell>
          <cell r="AA343" t="str">
            <v>Mazdoor I class</v>
          </cell>
          <cell r="AB343">
            <v>85</v>
          </cell>
          <cell r="AC343" t="str">
            <v>Each</v>
          </cell>
          <cell r="AD343">
            <v>42.5</v>
          </cell>
        </row>
        <row r="344">
          <cell r="Y344">
            <v>1.1000000000000001</v>
          </cell>
          <cell r="Z344" t="str">
            <v>No</v>
          </cell>
          <cell r="AA344" t="str">
            <v>Mazdoor II class</v>
          </cell>
          <cell r="AB344">
            <v>80</v>
          </cell>
          <cell r="AC344" t="str">
            <v>Each</v>
          </cell>
          <cell r="AD344">
            <v>88</v>
          </cell>
        </row>
        <row r="345">
          <cell r="Y345" t="str">
            <v/>
          </cell>
        </row>
        <row r="346">
          <cell r="AB346" t="str">
            <v>FOR 10 M²    =</v>
          </cell>
          <cell r="AD346">
            <v>434.63</v>
          </cell>
        </row>
        <row r="348">
          <cell r="AA348" t="str">
            <v>In all Floors</v>
          </cell>
          <cell r="AB348" t="str">
            <v>FOR 1 M²      =</v>
          </cell>
          <cell r="AD348">
            <v>43.46</v>
          </cell>
        </row>
        <row r="350">
          <cell r="X350">
            <v>14</v>
          </cell>
          <cell r="Y350" t="str">
            <v>Plastering the top of roof slab with cement mortar 1:5 (One of cement and five of sand) 12mm thick with crude oil 5%by weight of cement used including finishing smooth, scaffolding, setting, curing etc., complete as directed by the departmental officers -</v>
          </cell>
        </row>
        <row r="351">
          <cell r="Y351">
            <v>10</v>
          </cell>
          <cell r="Z351" t="str">
            <v>M²</v>
          </cell>
          <cell r="AA351" t="str">
            <v>Cement Mortar 1:5, 12mm thick</v>
          </cell>
          <cell r="AB351">
            <v>434.63</v>
          </cell>
          <cell r="AC351" t="str">
            <v>10M²</v>
          </cell>
          <cell r="AD351">
            <v>434.63</v>
          </cell>
        </row>
        <row r="352">
          <cell r="Y352">
            <v>2.02</v>
          </cell>
          <cell r="Z352" t="str">
            <v>Kg</v>
          </cell>
          <cell r="AA352" t="str">
            <v>Crude oil</v>
          </cell>
          <cell r="AB352">
            <v>16</v>
          </cell>
          <cell r="AC352" t="str">
            <v>1Kg</v>
          </cell>
          <cell r="AD352">
            <v>32.32</v>
          </cell>
        </row>
        <row r="353">
          <cell r="Y353" t="str">
            <v/>
          </cell>
        </row>
        <row r="354">
          <cell r="AB354" t="str">
            <v>FOR 10 M²    =</v>
          </cell>
          <cell r="AD354">
            <v>466.95</v>
          </cell>
        </row>
        <row r="356">
          <cell r="AA356" t="str">
            <v>In all Floors</v>
          </cell>
          <cell r="AB356" t="str">
            <v>FOR 1 M²      =</v>
          </cell>
          <cell r="AD356">
            <v>46.7</v>
          </cell>
        </row>
        <row r="358">
          <cell r="X358">
            <v>15</v>
          </cell>
          <cell r="Y358" t="str">
            <v>Refilling with selected excavated earth complying with standard specifications for refilling in foundation and basement etc., complete as directed by the departmental officers - 1M³</v>
          </cell>
        </row>
        <row r="359">
          <cell r="Y359">
            <v>1</v>
          </cell>
          <cell r="Z359" t="str">
            <v>M³</v>
          </cell>
          <cell r="AA359" t="str">
            <v>Filling in foundation and basement</v>
          </cell>
          <cell r="AB359">
            <v>8.75</v>
          </cell>
          <cell r="AC359" t="str">
            <v>1M³</v>
          </cell>
          <cell r="AD359">
            <v>8.75</v>
          </cell>
        </row>
        <row r="361">
          <cell r="AB361" t="str">
            <v>FOR  1  M³      =</v>
          </cell>
          <cell r="AD361">
            <v>8.75</v>
          </cell>
        </row>
        <row r="362">
          <cell r="X362">
            <v>16</v>
          </cell>
          <cell r="Y362" t="str">
            <v xml:space="preserve">Brick work in cement mortar 1:6 (One of cement and six of sand) using  II Class Chamber Burnt Bricks  (Table moulded) of size 9"×4-3/8"×2-3/4" including proper setting, curing, etc., complete in all respects - 10M³. </v>
          </cell>
        </row>
        <row r="363">
          <cell r="Y363">
            <v>4600</v>
          </cell>
          <cell r="Z363" t="str">
            <v>No</v>
          </cell>
          <cell r="AA363" t="str">
            <v>Bricks Class II (Table moulded) Chamber Burnt  of size 9"×4-3/8"×2-3/4"</v>
          </cell>
          <cell r="AB363">
            <v>1840.1</v>
          </cell>
          <cell r="AC363" t="str">
            <v>1000No</v>
          </cell>
          <cell r="AD363">
            <v>8464.4599999999991</v>
          </cell>
        </row>
        <row r="364">
          <cell r="Y364">
            <v>2.5</v>
          </cell>
          <cell r="Z364" t="str">
            <v>M³</v>
          </cell>
          <cell r="AA364" t="str">
            <v>Cement mortar 1:6</v>
          </cell>
          <cell r="AB364">
            <v>873.2</v>
          </cell>
          <cell r="AC364" t="str">
            <v>1M³</v>
          </cell>
          <cell r="AD364">
            <v>2183</v>
          </cell>
        </row>
        <row r="365">
          <cell r="Y365">
            <v>3.5</v>
          </cell>
          <cell r="Z365" t="str">
            <v>No</v>
          </cell>
          <cell r="AA365" t="str">
            <v>Mason I class</v>
          </cell>
          <cell r="AB365">
            <v>148</v>
          </cell>
          <cell r="AC365" t="str">
            <v>Each</v>
          </cell>
          <cell r="AD365">
            <v>518</v>
          </cell>
        </row>
        <row r="366">
          <cell r="Y366">
            <v>10.6</v>
          </cell>
          <cell r="Z366" t="str">
            <v>No</v>
          </cell>
          <cell r="AA366" t="str">
            <v>Mason II class</v>
          </cell>
          <cell r="AB366">
            <v>126</v>
          </cell>
          <cell r="AC366" t="str">
            <v>Each</v>
          </cell>
          <cell r="AD366">
            <v>1335.6</v>
          </cell>
        </row>
        <row r="367">
          <cell r="Y367">
            <v>7.1</v>
          </cell>
          <cell r="Z367" t="str">
            <v>No</v>
          </cell>
          <cell r="AA367" t="str">
            <v>Mazdoor category I</v>
          </cell>
          <cell r="AB367">
            <v>85</v>
          </cell>
          <cell r="AC367" t="str">
            <v>Each</v>
          </cell>
          <cell r="AD367">
            <v>603.5</v>
          </cell>
        </row>
        <row r="368">
          <cell r="Y368">
            <v>21.2</v>
          </cell>
          <cell r="Z368" t="str">
            <v>No</v>
          </cell>
          <cell r="AA368" t="str">
            <v>Mazdoor category II</v>
          </cell>
          <cell r="AB368">
            <v>80</v>
          </cell>
          <cell r="AC368" t="str">
            <v>Each</v>
          </cell>
          <cell r="AD368">
            <v>1696</v>
          </cell>
        </row>
        <row r="370">
          <cell r="AB370" t="str">
            <v>FOR 10 M³      =</v>
          </cell>
          <cell r="AD370">
            <v>14800.56</v>
          </cell>
        </row>
        <row r="372">
          <cell r="Z372" t="str">
            <v>A</v>
          </cell>
          <cell r="AA372" t="str">
            <v>In Foundation &amp; Basement</v>
          </cell>
          <cell r="AB372" t="str">
            <v>FOR  1  M³      =</v>
          </cell>
          <cell r="AD372">
            <v>1480.06</v>
          </cell>
        </row>
        <row r="373">
          <cell r="AA373" t="str">
            <v>Add for lift charges</v>
          </cell>
          <cell r="AD373">
            <v>17.5</v>
          </cell>
        </row>
        <row r="374">
          <cell r="Z374" t="str">
            <v>B</v>
          </cell>
          <cell r="AA374" t="str">
            <v>In ground Floor</v>
          </cell>
          <cell r="AB374" t="str">
            <v>FOR  1  M³      =</v>
          </cell>
          <cell r="AD374">
            <v>1497.56</v>
          </cell>
        </row>
        <row r="376">
          <cell r="X376">
            <v>17</v>
          </cell>
          <cell r="Y376" t="str">
            <v>Brick partition wall 11cm thick in cement mortar 1:6 (One of cement and six of sand) using II Class Chamber Burnt Bricks (Table moulded) of size 9"×4-3/8"×2-3/4" including  proper setting, curing, etc., complete in all respects. - 10M²</v>
          </cell>
        </row>
        <row r="377">
          <cell r="AA377" t="str">
            <v>Sub-Data                                  --10M³</v>
          </cell>
        </row>
        <row r="378">
          <cell r="Y378">
            <v>4600</v>
          </cell>
          <cell r="Z378" t="str">
            <v>No</v>
          </cell>
          <cell r="AA378" t="str">
            <v>Bricks Class II (Table moulded) Chamber Burnt  of size 9"×4-3/8"×2-3/4"</v>
          </cell>
          <cell r="AB378">
            <v>1840.1</v>
          </cell>
          <cell r="AC378" t="str">
            <v>1000No</v>
          </cell>
          <cell r="AD378">
            <v>8464.4599999999991</v>
          </cell>
        </row>
        <row r="379">
          <cell r="Y379">
            <v>1.59</v>
          </cell>
          <cell r="Z379" t="str">
            <v>M³</v>
          </cell>
          <cell r="AA379" t="str">
            <v>Cement mortar 1:6</v>
          </cell>
          <cell r="AB379">
            <v>873.2</v>
          </cell>
          <cell r="AC379" t="str">
            <v>1M³</v>
          </cell>
          <cell r="AD379">
            <v>1388.39</v>
          </cell>
        </row>
        <row r="380">
          <cell r="Y380">
            <v>7</v>
          </cell>
          <cell r="Z380" t="str">
            <v>No</v>
          </cell>
          <cell r="AA380" t="str">
            <v>Mason I class</v>
          </cell>
          <cell r="AB380">
            <v>148</v>
          </cell>
          <cell r="AC380" t="str">
            <v>Each</v>
          </cell>
          <cell r="AD380">
            <v>1036</v>
          </cell>
        </row>
        <row r="381">
          <cell r="Y381">
            <v>7.1</v>
          </cell>
          <cell r="Z381" t="str">
            <v>No</v>
          </cell>
          <cell r="AA381" t="str">
            <v>Mason II class</v>
          </cell>
          <cell r="AB381">
            <v>126</v>
          </cell>
          <cell r="AC381" t="str">
            <v>Each</v>
          </cell>
          <cell r="AD381">
            <v>894.6</v>
          </cell>
        </row>
        <row r="382">
          <cell r="Y382">
            <v>7.1</v>
          </cell>
          <cell r="Z382" t="str">
            <v>No</v>
          </cell>
          <cell r="AA382" t="str">
            <v>Mazdoor category I</v>
          </cell>
          <cell r="AB382">
            <v>85</v>
          </cell>
          <cell r="AC382" t="str">
            <v>Each</v>
          </cell>
          <cell r="AD382">
            <v>603.5</v>
          </cell>
        </row>
        <row r="383">
          <cell r="Y383">
            <v>21.2</v>
          </cell>
          <cell r="Z383" t="str">
            <v>No</v>
          </cell>
          <cell r="AA383" t="str">
            <v>Mazdoor category II</v>
          </cell>
          <cell r="AB383">
            <v>80</v>
          </cell>
          <cell r="AC383" t="str">
            <v>Each</v>
          </cell>
          <cell r="AD383">
            <v>1696</v>
          </cell>
        </row>
        <row r="385">
          <cell r="AB385" t="str">
            <v>FOR 10 M³      =</v>
          </cell>
          <cell r="AD385">
            <v>14082.949999999999</v>
          </cell>
        </row>
        <row r="387">
          <cell r="AB387" t="str">
            <v>FOR  1 M³       =</v>
          </cell>
          <cell r="AD387">
            <v>1408.3</v>
          </cell>
        </row>
        <row r="388">
          <cell r="AA388" t="str">
            <v>Main-Data                                 --10M²</v>
          </cell>
        </row>
        <row r="390">
          <cell r="Y390">
            <v>1.1100000000000001</v>
          </cell>
          <cell r="Z390" t="str">
            <v>M³</v>
          </cell>
          <cell r="AA390" t="str">
            <v>Brick partition wall in cement mortar 1:6</v>
          </cell>
          <cell r="AB390">
            <v>1408.3</v>
          </cell>
          <cell r="AC390" t="str">
            <v>1M³</v>
          </cell>
          <cell r="AD390">
            <v>1563.21</v>
          </cell>
        </row>
        <row r="391">
          <cell r="Y391">
            <v>1</v>
          </cell>
          <cell r="Z391" t="str">
            <v>No</v>
          </cell>
          <cell r="AA391" t="str">
            <v>Mason I class</v>
          </cell>
          <cell r="AB391">
            <v>148</v>
          </cell>
          <cell r="AC391" t="str">
            <v>Each</v>
          </cell>
          <cell r="AD391">
            <v>148</v>
          </cell>
        </row>
        <row r="393">
          <cell r="AB393" t="str">
            <v>FOR 10 M²      =</v>
          </cell>
          <cell r="AD393">
            <v>1711.21</v>
          </cell>
        </row>
        <row r="395">
          <cell r="Z395" t="str">
            <v>A</v>
          </cell>
          <cell r="AA395" t="str">
            <v>In Foundation &amp; Basement</v>
          </cell>
          <cell r="AB395" t="str">
            <v>FOR  1 M²       =</v>
          </cell>
          <cell r="AD395">
            <v>171.12</v>
          </cell>
        </row>
        <row r="396">
          <cell r="AA396" t="str">
            <v>Add for lift charges</v>
          </cell>
          <cell r="AD396">
            <v>1.92</v>
          </cell>
        </row>
        <row r="397">
          <cell r="Z397" t="str">
            <v>B</v>
          </cell>
          <cell r="AA397" t="str">
            <v>In ground Floor</v>
          </cell>
          <cell r="AB397" t="str">
            <v>FOR  1 M²       =</v>
          </cell>
          <cell r="AD397">
            <v>173.04</v>
          </cell>
        </row>
        <row r="399">
          <cell r="X399">
            <v>18</v>
          </cell>
          <cell r="Y399" t="e">
            <v>#REF!</v>
          </cell>
        </row>
        <row r="400">
          <cell r="Y400">
            <v>1</v>
          </cell>
          <cell r="Z400" t="str">
            <v>M³</v>
          </cell>
          <cell r="AA400" t="str">
            <v>Filling with brick jelly 40mm size</v>
          </cell>
          <cell r="AB400">
            <v>235.2</v>
          </cell>
          <cell r="AC400" t="str">
            <v>1M³</v>
          </cell>
          <cell r="AD400">
            <v>235.2</v>
          </cell>
        </row>
        <row r="402">
          <cell r="AB402" t="str">
            <v>FOR 1 M3      =</v>
          </cell>
          <cell r="AD402">
            <v>235.2</v>
          </cell>
        </row>
        <row r="404">
          <cell r="X404">
            <v>16</v>
          </cell>
          <cell r="Y404" t="str">
            <v xml:space="preserve">Brick work in cement mortar 1:6 (One of cement and six of sand) using III class Kiln burnt country bricks of size 8-¾"×4-¼"×2-¼" including proper setting, curing, etc., complete in all respects - 10M³. </v>
          </cell>
        </row>
        <row r="405">
          <cell r="Y405">
            <v>6000</v>
          </cell>
          <cell r="Z405" t="str">
            <v>Nos</v>
          </cell>
          <cell r="AA405" t="str">
            <v>III class Kiln burnt country bricks of size 8-¾"×4-¼"×2-¼"</v>
          </cell>
          <cell r="AB405">
            <v>1337.3</v>
          </cell>
          <cell r="AC405" t="str">
            <v>1000No</v>
          </cell>
          <cell r="AD405">
            <v>8023.8</v>
          </cell>
        </row>
        <row r="406">
          <cell r="Y406">
            <v>2.8</v>
          </cell>
          <cell r="Z406" t="str">
            <v>M³</v>
          </cell>
          <cell r="AA406" t="str">
            <v>Cement mortar 1:6</v>
          </cell>
          <cell r="AB406">
            <v>873.2</v>
          </cell>
          <cell r="AC406" t="str">
            <v>1M³</v>
          </cell>
          <cell r="AD406">
            <v>2444.96</v>
          </cell>
        </row>
        <row r="407">
          <cell r="Y407">
            <v>3.5</v>
          </cell>
          <cell r="Z407" t="str">
            <v>No</v>
          </cell>
          <cell r="AA407" t="str">
            <v>Mason I class</v>
          </cell>
          <cell r="AB407">
            <v>148</v>
          </cell>
          <cell r="AC407" t="str">
            <v>Each</v>
          </cell>
          <cell r="AD407">
            <v>518</v>
          </cell>
        </row>
        <row r="408">
          <cell r="Y408">
            <v>7.1</v>
          </cell>
          <cell r="Z408" t="str">
            <v>No</v>
          </cell>
          <cell r="AA408" t="str">
            <v>Mason II class</v>
          </cell>
          <cell r="AB408">
            <v>126</v>
          </cell>
          <cell r="AC408" t="str">
            <v>Each</v>
          </cell>
          <cell r="AD408">
            <v>894.6</v>
          </cell>
        </row>
        <row r="409">
          <cell r="Y409">
            <v>7.1</v>
          </cell>
          <cell r="Z409" t="str">
            <v>No</v>
          </cell>
          <cell r="AA409" t="str">
            <v>Mazdoor category I</v>
          </cell>
          <cell r="AB409">
            <v>85</v>
          </cell>
          <cell r="AC409" t="str">
            <v>Each</v>
          </cell>
          <cell r="AD409">
            <v>603.5</v>
          </cell>
        </row>
        <row r="410">
          <cell r="Y410">
            <v>14.1</v>
          </cell>
          <cell r="Z410" t="str">
            <v>No</v>
          </cell>
          <cell r="AA410" t="str">
            <v>Mazdoor category II</v>
          </cell>
          <cell r="AB410">
            <v>80</v>
          </cell>
          <cell r="AC410" t="str">
            <v>Each</v>
          </cell>
          <cell r="AD410">
            <v>1128</v>
          </cell>
        </row>
        <row r="412">
          <cell r="AB412" t="str">
            <v>FOR 10 M³      =</v>
          </cell>
          <cell r="AD412">
            <v>13612.86</v>
          </cell>
        </row>
        <row r="414">
          <cell r="Z414" t="str">
            <v>A</v>
          </cell>
          <cell r="AA414" t="str">
            <v>In Foundation &amp; Basement</v>
          </cell>
          <cell r="AB414" t="str">
            <v>FOR  1  M³      =</v>
          </cell>
          <cell r="AD414">
            <v>1361.29</v>
          </cell>
        </row>
        <row r="415">
          <cell r="AA415" t="str">
            <v>Add for lift charges</v>
          </cell>
          <cell r="AD415">
            <v>17.5</v>
          </cell>
        </row>
        <row r="416">
          <cell r="Z416" t="str">
            <v>B</v>
          </cell>
          <cell r="AA416" t="str">
            <v>In ground Floor</v>
          </cell>
          <cell r="AB416" t="str">
            <v>FOR  1  M³      =</v>
          </cell>
          <cell r="AD416">
            <v>1378.79</v>
          </cell>
        </row>
        <row r="418">
          <cell r="X418">
            <v>17</v>
          </cell>
          <cell r="Y418" t="str">
            <v>Brick partition wall 11cm thick in cement mortar 1:6 (One of cement and six of sand) using III class Kiln burnt country bricks of size 8-¾"×4-¼"×2-¼" including  proper setting, curing, etc., complete in all respects. - 10M²</v>
          </cell>
        </row>
        <row r="419">
          <cell r="AA419" t="str">
            <v>Sub-Data                                  --10M³</v>
          </cell>
        </row>
        <row r="420">
          <cell r="Y420">
            <v>6000</v>
          </cell>
          <cell r="Z420" t="str">
            <v>Nos</v>
          </cell>
          <cell r="AA420" t="str">
            <v>III class Kiln burnt country bricks of size 8-¾"×4-¼"×2-¼"</v>
          </cell>
          <cell r="AB420">
            <v>1337.3</v>
          </cell>
          <cell r="AC420" t="str">
            <v>1000No</v>
          </cell>
          <cell r="AD420">
            <v>8023.8</v>
          </cell>
        </row>
        <row r="421">
          <cell r="Y421">
            <v>1.79</v>
          </cell>
          <cell r="Z421" t="str">
            <v>M³</v>
          </cell>
          <cell r="AA421" t="str">
            <v>Cement mortar 1:6</v>
          </cell>
          <cell r="AB421">
            <v>873.2</v>
          </cell>
          <cell r="AC421" t="str">
            <v>1M³</v>
          </cell>
          <cell r="AD421">
            <v>1563.03</v>
          </cell>
        </row>
        <row r="422">
          <cell r="Y422">
            <v>7</v>
          </cell>
          <cell r="Z422" t="str">
            <v>No</v>
          </cell>
          <cell r="AA422" t="str">
            <v>Mason I class</v>
          </cell>
          <cell r="AB422">
            <v>148</v>
          </cell>
          <cell r="AC422" t="str">
            <v>Each</v>
          </cell>
          <cell r="AD422">
            <v>1036</v>
          </cell>
        </row>
        <row r="423">
          <cell r="Y423">
            <v>3.6</v>
          </cell>
          <cell r="Z423" t="str">
            <v>No</v>
          </cell>
          <cell r="AA423" t="str">
            <v>Mason II class</v>
          </cell>
          <cell r="AB423">
            <v>126</v>
          </cell>
          <cell r="AC423" t="str">
            <v>Each</v>
          </cell>
          <cell r="AD423">
            <v>453.6</v>
          </cell>
        </row>
        <row r="424">
          <cell r="Y424">
            <v>7.1</v>
          </cell>
          <cell r="Z424" t="str">
            <v>No</v>
          </cell>
          <cell r="AA424" t="str">
            <v>Mazdoor category I</v>
          </cell>
          <cell r="AB424">
            <v>85</v>
          </cell>
          <cell r="AC424" t="str">
            <v>Each</v>
          </cell>
          <cell r="AD424">
            <v>603.5</v>
          </cell>
        </row>
        <row r="425">
          <cell r="Y425">
            <v>14.1</v>
          </cell>
          <cell r="Z425" t="str">
            <v>No</v>
          </cell>
          <cell r="AA425" t="str">
            <v>Mazdoor category II</v>
          </cell>
          <cell r="AB425">
            <v>80</v>
          </cell>
          <cell r="AC425" t="str">
            <v>Each</v>
          </cell>
          <cell r="AD425">
            <v>1128</v>
          </cell>
        </row>
        <row r="427">
          <cell r="AB427" t="str">
            <v>FOR 10 M³      =</v>
          </cell>
          <cell r="AD427">
            <v>12807.93</v>
          </cell>
        </row>
        <row r="429">
          <cell r="AB429" t="str">
            <v>FOR  1 M³       =</v>
          </cell>
          <cell r="AD429">
            <v>1280.79</v>
          </cell>
        </row>
        <row r="430">
          <cell r="AA430" t="str">
            <v>Main-Data                                 --10M²</v>
          </cell>
        </row>
        <row r="432">
          <cell r="Y432">
            <v>1.1000000000000001</v>
          </cell>
          <cell r="Z432" t="str">
            <v>M³</v>
          </cell>
          <cell r="AA432" t="str">
            <v>Brick partition wall in cement mortar 1:6</v>
          </cell>
          <cell r="AB432">
            <v>1280.79</v>
          </cell>
          <cell r="AC432" t="str">
            <v>1M³</v>
          </cell>
          <cell r="AD432">
            <v>1408.87</v>
          </cell>
        </row>
        <row r="433">
          <cell r="Y433">
            <v>1</v>
          </cell>
          <cell r="Z433" t="str">
            <v>No</v>
          </cell>
          <cell r="AA433" t="str">
            <v>Mason I class</v>
          </cell>
          <cell r="AB433">
            <v>148</v>
          </cell>
          <cell r="AC433" t="str">
            <v>Each</v>
          </cell>
          <cell r="AD433">
            <v>148</v>
          </cell>
        </row>
        <row r="435">
          <cell r="AB435" t="str">
            <v>FOR 10 M²      =</v>
          </cell>
          <cell r="AD435">
            <v>1556.87</v>
          </cell>
        </row>
        <row r="437">
          <cell r="Z437" t="str">
            <v>A</v>
          </cell>
          <cell r="AA437" t="str">
            <v>In Foundation &amp; Basement</v>
          </cell>
          <cell r="AB437" t="str">
            <v>FOR  1 M²       =</v>
          </cell>
          <cell r="AD437">
            <v>155.69</v>
          </cell>
        </row>
        <row r="438">
          <cell r="AA438" t="str">
            <v>Add for lift charges</v>
          </cell>
          <cell r="AD438">
            <v>1.92</v>
          </cell>
        </row>
        <row r="439">
          <cell r="Z439" t="str">
            <v>B</v>
          </cell>
          <cell r="AA439" t="str">
            <v>In ground Floor</v>
          </cell>
          <cell r="AB439" t="str">
            <v>FOR  1 M²       =</v>
          </cell>
          <cell r="AD439">
            <v>157.60999999999999</v>
          </cell>
        </row>
        <row r="441">
          <cell r="X441">
            <v>18</v>
          </cell>
          <cell r="Y441" t="str">
            <v xml:space="preserve">White washing two coats with best shell lime including cost of lime, gum, cunjee, brushes, scaffolding, etc., complete in all respects as directed by the departmental officers </v>
          </cell>
        </row>
        <row r="442">
          <cell r="Y442">
            <v>7.0000000000000007E-2</v>
          </cell>
          <cell r="Z442" t="str">
            <v>M³</v>
          </cell>
          <cell r="AA442" t="str">
            <v>Fine screened Shell Lime</v>
          </cell>
          <cell r="AB442">
            <v>775.2</v>
          </cell>
          <cell r="AC442" t="str">
            <v>1M³</v>
          </cell>
          <cell r="AD442">
            <v>54.26</v>
          </cell>
        </row>
        <row r="443">
          <cell r="Y443">
            <v>1.6</v>
          </cell>
          <cell r="Z443" t="str">
            <v>No</v>
          </cell>
          <cell r="AA443" t="str">
            <v>Mason II class</v>
          </cell>
          <cell r="AB443">
            <v>126</v>
          </cell>
          <cell r="AC443" t="str">
            <v>Each</v>
          </cell>
          <cell r="AD443">
            <v>201.6</v>
          </cell>
        </row>
        <row r="444">
          <cell r="Y444">
            <v>0.5</v>
          </cell>
          <cell r="Z444" t="str">
            <v>No</v>
          </cell>
          <cell r="AA444" t="str">
            <v>Mazdoor I class</v>
          </cell>
          <cell r="AB444">
            <v>85</v>
          </cell>
          <cell r="AC444" t="str">
            <v>Each</v>
          </cell>
          <cell r="AD444">
            <v>42.5</v>
          </cell>
        </row>
        <row r="445">
          <cell r="Y445">
            <v>2.7</v>
          </cell>
          <cell r="Z445" t="str">
            <v>No</v>
          </cell>
          <cell r="AA445" t="str">
            <v>Mazdoor II class</v>
          </cell>
          <cell r="AB445">
            <v>80</v>
          </cell>
          <cell r="AC445" t="str">
            <v>Each</v>
          </cell>
          <cell r="AD445">
            <v>216</v>
          </cell>
        </row>
        <row r="446">
          <cell r="Y446" t="str">
            <v>LS</v>
          </cell>
          <cell r="AA446" t="str">
            <v>Gum, conjee, water or prickly pear juice</v>
          </cell>
          <cell r="AB446" t="str">
            <v xml:space="preserve">              LS</v>
          </cell>
          <cell r="AD446">
            <v>1.81</v>
          </cell>
        </row>
        <row r="448">
          <cell r="AB448" t="str">
            <v>FOR 100 M²  =</v>
          </cell>
          <cell r="AD448">
            <v>516.16999999999996</v>
          </cell>
        </row>
        <row r="450">
          <cell r="AA450" t="str">
            <v>In all Floors</v>
          </cell>
          <cell r="AB450" t="str">
            <v>FOR 1 M²      =</v>
          </cell>
          <cell r="AD450">
            <v>5.16</v>
          </cell>
        </row>
        <row r="452">
          <cell r="X452">
            <v>20</v>
          </cell>
          <cell r="Y452" t="e">
            <v>#REF!</v>
          </cell>
        </row>
        <row r="453">
          <cell r="Y453">
            <v>1</v>
          </cell>
          <cell r="Z453" t="str">
            <v>M²</v>
          </cell>
          <cell r="AA453" t="str">
            <v>Cuddapah slab 38mm/40mm thick</v>
          </cell>
          <cell r="AB453">
            <v>245</v>
          </cell>
          <cell r="AC453" t="str">
            <v>1M²</v>
          </cell>
          <cell r="AD453">
            <v>245</v>
          </cell>
        </row>
        <row r="455">
          <cell r="AB455" t="str">
            <v>FOR 1 M²      =</v>
          </cell>
          <cell r="AD455">
            <v>245</v>
          </cell>
        </row>
        <row r="459">
          <cell r="Y459">
            <v>1</v>
          </cell>
          <cell r="Z459" t="str">
            <v>RM</v>
          </cell>
          <cell r="AA459" t="str">
            <v>63mm dia pvc pipe 4kg/cm2</v>
          </cell>
          <cell r="AB459">
            <v>26</v>
          </cell>
          <cell r="AC459" t="str">
            <v>RM</v>
          </cell>
          <cell r="AD459">
            <v>26</v>
          </cell>
        </row>
        <row r="460">
          <cell r="AB460" t="str">
            <v>FOR 1m      =</v>
          </cell>
          <cell r="AD460">
            <v>26</v>
          </cell>
        </row>
      </sheetData>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ile data ( M30 grade) (2)"/>
      <sheetName val="2 in 1 incl. F.E."/>
      <sheetName val="pile data "/>
      <sheetName val="  Coastal  Elec.Data "/>
      <sheetName val="lead  charge"/>
      <sheetName val="Sliding and french window"/>
      <sheetName val="General Abstract"/>
      <sheetName val="building"/>
      <sheetName val="Main+Develop"/>
      <sheetName val="Develop.1"/>
      <sheetName val="Below Detailed"/>
      <sheetName val="Above Detailed"/>
      <sheetName val="Design Sump"/>
      <sheetName val="Sump"/>
      <sheetName val="Sinking Well"/>
      <sheetName val="Numbering"/>
      <sheetName val="Compound Wall"/>
      <sheetName val="Lift"/>
      <sheetName val="Develop.2"/>
      <sheetName val="Fire Fighting"/>
      <sheetName val="Genset"/>
      <sheetName val="Street Light"/>
      <sheetName val="Sewer Line"/>
      <sheetName val="Paver Block Road"/>
      <sheetName val="Column Guard"/>
      <sheetName val="Filling"/>
      <sheetName val="Filling Lead"/>
      <sheetName val="Filling CST"/>
      <sheetName val="Filling Data"/>
      <sheetName val="Hire Charge"/>
      <sheetName val="External Water"/>
      <sheetName val="EB Panel, Arrester"/>
      <sheetName val="Data"/>
      <sheetName val="Print Data"/>
      <sheetName val="Elec.Data"/>
      <sheetName val="Sheet1"/>
    </sheetNames>
    <sheetDataSet>
      <sheetData sheetId="0"/>
      <sheetData sheetId="1"/>
      <sheetData sheetId="2"/>
      <sheetData sheetId="3"/>
      <sheetData sheetId="4"/>
      <sheetData sheetId="5"/>
      <sheetData sheetId="6"/>
      <sheetData sheetId="7">
        <row r="886">
          <cell r="B886" t="str">
            <v>SUPPLY OF DLINK - 8 Port POE - Manaqed switch 'Fon!: Min 16 ports,Rj45-10/100/1000Base T, Min 4 SFP, 1 Console Port POE: lEEE802.af support in all ports &amp; 802.at L:ourer supply: Built in. Layer2 Features: Spanning tree(STP) Static Port Trunking, 16K MAC Layer 2 tUlulticast Features: lnternet Group management protocol(IGMP)Snooping, IGMP V1N2, MLD- 'v l,rl'2 Security features : Broaocas;'Mr.ilticasUUrricast Storm Control [fanagenrent ieatures: \\eb baseC CLI simple Network Management Protocol (SNMP) Trap/Alarm/Log Secirity Control. POli Power Budget: 193 Watts.</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rgb="FFFFFF00"/>
  </sheetPr>
  <dimension ref="A1:XEQ3842"/>
  <sheetViews>
    <sheetView view="pageBreakPreview" topLeftCell="A1752" zoomScaleNormal="85" zoomScaleSheetLayoutView="100" workbookViewId="0">
      <selection activeCell="I1752" sqref="I1752"/>
    </sheetView>
  </sheetViews>
  <sheetFormatPr defaultRowHeight="15.75"/>
  <cols>
    <col min="1" max="1" width="6.77734375" style="578" customWidth="1"/>
    <col min="2" max="2" width="40.33203125" style="578" customWidth="1"/>
    <col min="3" max="3" width="9.21875" style="578" bestFit="1" customWidth="1"/>
    <col min="4" max="4" width="6.109375" style="578" bestFit="1" customWidth="1"/>
    <col min="5" max="5" width="5.5546875" style="578" customWidth="1"/>
    <col min="6" max="6" width="8.44140625" style="579" customWidth="1"/>
    <col min="7" max="7" width="7.21875" style="579" bestFit="1" customWidth="1"/>
    <col min="8" max="8" width="7.5546875" style="579" customWidth="1"/>
    <col min="9" max="9" width="11.33203125" style="584" customWidth="1"/>
    <col min="10" max="10" width="6.6640625" style="553" customWidth="1"/>
    <col min="11" max="11" width="9.44140625" style="3" customWidth="1"/>
    <col min="12" max="14" width="4.33203125" style="3" customWidth="1"/>
    <col min="15" max="15" width="12" style="3" bestFit="1" customWidth="1"/>
    <col min="16" max="16" width="10.44140625" style="3" customWidth="1"/>
    <col min="17" max="17" width="8.88671875" style="3"/>
    <col min="18" max="18" width="10.44140625" style="3" bestFit="1" customWidth="1"/>
    <col min="19" max="30" width="8.88671875" style="3"/>
    <col min="244" max="244" width="5.6640625" bestFit="1" customWidth="1"/>
    <col min="245" max="245" width="32.21875" customWidth="1"/>
    <col min="246" max="246" width="3.44140625" bestFit="1" customWidth="1"/>
    <col min="247" max="247" width="2.109375" bestFit="1" customWidth="1"/>
    <col min="248" max="248" width="4.109375" bestFit="1" customWidth="1"/>
    <col min="249" max="249" width="7.109375" bestFit="1" customWidth="1"/>
    <col min="250" max="250" width="6.21875" bestFit="1" customWidth="1"/>
    <col min="251" max="251" width="5.88671875" bestFit="1" customWidth="1"/>
    <col min="252" max="252" width="11" bestFit="1" customWidth="1"/>
    <col min="253" max="253" width="5.44140625" bestFit="1" customWidth="1"/>
    <col min="254" max="255" width="9" bestFit="1" customWidth="1"/>
    <col min="256" max="256" width="8" bestFit="1" customWidth="1"/>
    <col min="257" max="257" width="8.33203125" bestFit="1" customWidth="1"/>
    <col min="258" max="258" width="4.77734375" bestFit="1" customWidth="1"/>
    <col min="260" max="260" width="9.21875" bestFit="1" customWidth="1"/>
    <col min="261" max="261" width="10.109375" bestFit="1" customWidth="1"/>
    <col min="500" max="500" width="5.6640625" bestFit="1" customWidth="1"/>
    <col min="501" max="501" width="32.21875" customWidth="1"/>
    <col min="502" max="502" width="3.44140625" bestFit="1" customWidth="1"/>
    <col min="503" max="503" width="2.109375" bestFit="1" customWidth="1"/>
    <col min="504" max="504" width="4.109375" bestFit="1" customWidth="1"/>
    <col min="505" max="505" width="7.109375" bestFit="1" customWidth="1"/>
    <col min="506" max="506" width="6.21875" bestFit="1" customWidth="1"/>
    <col min="507" max="507" width="5.88671875" bestFit="1" customWidth="1"/>
    <col min="508" max="508" width="11" bestFit="1" customWidth="1"/>
    <col min="509" max="509" width="5.44140625" bestFit="1" customWidth="1"/>
    <col min="510" max="511" width="9" bestFit="1" customWidth="1"/>
    <col min="512" max="512" width="8" bestFit="1" customWidth="1"/>
    <col min="513" max="513" width="8.33203125" bestFit="1" customWidth="1"/>
    <col min="514" max="514" width="4.77734375" bestFit="1" customWidth="1"/>
    <col min="516" max="516" width="9.21875" bestFit="1" customWidth="1"/>
    <col min="517" max="517" width="10.109375" bestFit="1" customWidth="1"/>
    <col min="756" max="756" width="5.6640625" bestFit="1" customWidth="1"/>
    <col min="757" max="757" width="32.21875" customWidth="1"/>
    <col min="758" max="758" width="3.44140625" bestFit="1" customWidth="1"/>
    <col min="759" max="759" width="2.109375" bestFit="1" customWidth="1"/>
    <col min="760" max="760" width="4.109375" bestFit="1" customWidth="1"/>
    <col min="761" max="761" width="7.109375" bestFit="1" customWidth="1"/>
    <col min="762" max="762" width="6.21875" bestFit="1" customWidth="1"/>
    <col min="763" max="763" width="5.88671875" bestFit="1" customWidth="1"/>
    <col min="764" max="764" width="11" bestFit="1" customWidth="1"/>
    <col min="765" max="765" width="5.44140625" bestFit="1" customWidth="1"/>
    <col min="766" max="767" width="9" bestFit="1" customWidth="1"/>
    <col min="768" max="768" width="8" bestFit="1" customWidth="1"/>
    <col min="769" max="769" width="8.33203125" bestFit="1" customWidth="1"/>
    <col min="770" max="770" width="4.77734375" bestFit="1" customWidth="1"/>
    <col min="772" max="772" width="9.21875" bestFit="1" customWidth="1"/>
    <col min="773" max="773" width="10.109375" bestFit="1" customWidth="1"/>
    <col min="1012" max="1012" width="5.6640625" bestFit="1" customWidth="1"/>
    <col min="1013" max="1013" width="32.21875" customWidth="1"/>
    <col min="1014" max="1014" width="3.44140625" bestFit="1" customWidth="1"/>
    <col min="1015" max="1015" width="2.109375" bestFit="1" customWidth="1"/>
    <col min="1016" max="1016" width="4.109375" bestFit="1" customWidth="1"/>
    <col min="1017" max="1017" width="7.109375" bestFit="1" customWidth="1"/>
    <col min="1018" max="1018" width="6.21875" bestFit="1" customWidth="1"/>
    <col min="1019" max="1019" width="5.88671875" bestFit="1" customWidth="1"/>
    <col min="1020" max="1020" width="11" bestFit="1" customWidth="1"/>
    <col min="1021" max="1021" width="5.44140625" bestFit="1" customWidth="1"/>
    <col min="1022" max="1023" width="9" bestFit="1" customWidth="1"/>
    <col min="1024" max="1024" width="8" bestFit="1" customWidth="1"/>
    <col min="1025" max="1025" width="8.33203125" bestFit="1" customWidth="1"/>
    <col min="1026" max="1026" width="4.77734375" bestFit="1" customWidth="1"/>
    <col min="1028" max="1028" width="9.21875" bestFit="1" customWidth="1"/>
    <col min="1029" max="1029" width="10.109375" bestFit="1" customWidth="1"/>
    <col min="1268" max="1268" width="5.6640625" bestFit="1" customWidth="1"/>
    <col min="1269" max="1269" width="32.21875" customWidth="1"/>
    <col min="1270" max="1270" width="3.44140625" bestFit="1" customWidth="1"/>
    <col min="1271" max="1271" width="2.109375" bestFit="1" customWidth="1"/>
    <col min="1272" max="1272" width="4.109375" bestFit="1" customWidth="1"/>
    <col min="1273" max="1273" width="7.109375" bestFit="1" customWidth="1"/>
    <col min="1274" max="1274" width="6.21875" bestFit="1" customWidth="1"/>
    <col min="1275" max="1275" width="5.88671875" bestFit="1" customWidth="1"/>
    <col min="1276" max="1276" width="11" bestFit="1" customWidth="1"/>
    <col min="1277" max="1277" width="5.44140625" bestFit="1" customWidth="1"/>
    <col min="1278" max="1279" width="9" bestFit="1" customWidth="1"/>
    <col min="1280" max="1280" width="8" bestFit="1" customWidth="1"/>
    <col min="1281" max="1281" width="8.33203125" bestFit="1" customWidth="1"/>
    <col min="1282" max="1282" width="4.77734375" bestFit="1" customWidth="1"/>
    <col min="1284" max="1284" width="9.21875" bestFit="1" customWidth="1"/>
    <col min="1285" max="1285" width="10.109375" bestFit="1" customWidth="1"/>
    <col min="1524" max="1524" width="5.6640625" bestFit="1" customWidth="1"/>
    <col min="1525" max="1525" width="32.21875" customWidth="1"/>
    <col min="1526" max="1526" width="3.44140625" bestFit="1" customWidth="1"/>
    <col min="1527" max="1527" width="2.109375" bestFit="1" customWidth="1"/>
    <col min="1528" max="1528" width="4.109375" bestFit="1" customWidth="1"/>
    <col min="1529" max="1529" width="7.109375" bestFit="1" customWidth="1"/>
    <col min="1530" max="1530" width="6.21875" bestFit="1" customWidth="1"/>
    <col min="1531" max="1531" width="5.88671875" bestFit="1" customWidth="1"/>
    <col min="1532" max="1532" width="11" bestFit="1" customWidth="1"/>
    <col min="1533" max="1533" width="5.44140625" bestFit="1" customWidth="1"/>
    <col min="1534" max="1535" width="9" bestFit="1" customWidth="1"/>
    <col min="1536" max="1536" width="8" bestFit="1" customWidth="1"/>
    <col min="1537" max="1537" width="8.33203125" bestFit="1" customWidth="1"/>
    <col min="1538" max="1538" width="4.77734375" bestFit="1" customWidth="1"/>
    <col min="1540" max="1540" width="9.21875" bestFit="1" customWidth="1"/>
    <col min="1541" max="1541" width="10.109375" bestFit="1" customWidth="1"/>
    <col min="1780" max="1780" width="5.6640625" bestFit="1" customWidth="1"/>
    <col min="1781" max="1781" width="32.21875" customWidth="1"/>
    <col min="1782" max="1782" width="3.44140625" bestFit="1" customWidth="1"/>
    <col min="1783" max="1783" width="2.109375" bestFit="1" customWidth="1"/>
    <col min="1784" max="1784" width="4.109375" bestFit="1" customWidth="1"/>
    <col min="1785" max="1785" width="7.109375" bestFit="1" customWidth="1"/>
    <col min="1786" max="1786" width="6.21875" bestFit="1" customWidth="1"/>
    <col min="1787" max="1787" width="5.88671875" bestFit="1" customWidth="1"/>
    <col min="1788" max="1788" width="11" bestFit="1" customWidth="1"/>
    <col min="1789" max="1789" width="5.44140625" bestFit="1" customWidth="1"/>
    <col min="1790" max="1791" width="9" bestFit="1" customWidth="1"/>
    <col min="1792" max="1792" width="8" bestFit="1" customWidth="1"/>
    <col min="1793" max="1793" width="8.33203125" bestFit="1" customWidth="1"/>
    <col min="1794" max="1794" width="4.77734375" bestFit="1" customWidth="1"/>
    <col min="1796" max="1796" width="9.21875" bestFit="1" customWidth="1"/>
    <col min="1797" max="1797" width="10.109375" bestFit="1" customWidth="1"/>
    <col min="2036" max="2036" width="5.6640625" bestFit="1" customWidth="1"/>
    <col min="2037" max="2037" width="32.21875" customWidth="1"/>
    <col min="2038" max="2038" width="3.44140625" bestFit="1" customWidth="1"/>
    <col min="2039" max="2039" width="2.109375" bestFit="1" customWidth="1"/>
    <col min="2040" max="2040" width="4.109375" bestFit="1" customWidth="1"/>
    <col min="2041" max="2041" width="7.109375" bestFit="1" customWidth="1"/>
    <col min="2042" max="2042" width="6.21875" bestFit="1" customWidth="1"/>
    <col min="2043" max="2043" width="5.88671875" bestFit="1" customWidth="1"/>
    <col min="2044" max="2044" width="11" bestFit="1" customWidth="1"/>
    <col min="2045" max="2045" width="5.44140625" bestFit="1" customWidth="1"/>
    <col min="2046" max="2047" width="9" bestFit="1" customWidth="1"/>
    <col min="2048" max="2048" width="8" bestFit="1" customWidth="1"/>
    <col min="2049" max="2049" width="8.33203125" bestFit="1" customWidth="1"/>
    <col min="2050" max="2050" width="4.77734375" bestFit="1" customWidth="1"/>
    <col min="2052" max="2052" width="9.21875" bestFit="1" customWidth="1"/>
    <col min="2053" max="2053" width="10.109375" bestFit="1" customWidth="1"/>
    <col min="2292" max="2292" width="5.6640625" bestFit="1" customWidth="1"/>
    <col min="2293" max="2293" width="32.21875" customWidth="1"/>
    <col min="2294" max="2294" width="3.44140625" bestFit="1" customWidth="1"/>
    <col min="2295" max="2295" width="2.109375" bestFit="1" customWidth="1"/>
    <col min="2296" max="2296" width="4.109375" bestFit="1" customWidth="1"/>
    <col min="2297" max="2297" width="7.109375" bestFit="1" customWidth="1"/>
    <col min="2298" max="2298" width="6.21875" bestFit="1" customWidth="1"/>
    <col min="2299" max="2299" width="5.88671875" bestFit="1" customWidth="1"/>
    <col min="2300" max="2300" width="11" bestFit="1" customWidth="1"/>
    <col min="2301" max="2301" width="5.44140625" bestFit="1" customWidth="1"/>
    <col min="2302" max="2303" width="9" bestFit="1" customWidth="1"/>
    <col min="2304" max="2304" width="8" bestFit="1" customWidth="1"/>
    <col min="2305" max="2305" width="8.33203125" bestFit="1" customWidth="1"/>
    <col min="2306" max="2306" width="4.77734375" bestFit="1" customWidth="1"/>
    <col min="2308" max="2308" width="9.21875" bestFit="1" customWidth="1"/>
    <col min="2309" max="2309" width="10.109375" bestFit="1" customWidth="1"/>
    <col min="2548" max="2548" width="5.6640625" bestFit="1" customWidth="1"/>
    <col min="2549" max="2549" width="32.21875" customWidth="1"/>
    <col min="2550" max="2550" width="3.44140625" bestFit="1" customWidth="1"/>
    <col min="2551" max="2551" width="2.109375" bestFit="1" customWidth="1"/>
    <col min="2552" max="2552" width="4.109375" bestFit="1" customWidth="1"/>
    <col min="2553" max="2553" width="7.109375" bestFit="1" customWidth="1"/>
    <col min="2554" max="2554" width="6.21875" bestFit="1" customWidth="1"/>
    <col min="2555" max="2555" width="5.88671875" bestFit="1" customWidth="1"/>
    <col min="2556" max="2556" width="11" bestFit="1" customWidth="1"/>
    <col min="2557" max="2557" width="5.44140625" bestFit="1" customWidth="1"/>
    <col min="2558" max="2559" width="9" bestFit="1" customWidth="1"/>
    <col min="2560" max="2560" width="8" bestFit="1" customWidth="1"/>
    <col min="2561" max="2561" width="8.33203125" bestFit="1" customWidth="1"/>
    <col min="2562" max="2562" width="4.77734375" bestFit="1" customWidth="1"/>
    <col min="2564" max="2564" width="9.21875" bestFit="1" customWidth="1"/>
    <col min="2565" max="2565" width="10.109375" bestFit="1" customWidth="1"/>
    <col min="2804" max="2804" width="5.6640625" bestFit="1" customWidth="1"/>
    <col min="2805" max="2805" width="32.21875" customWidth="1"/>
    <col min="2806" max="2806" width="3.44140625" bestFit="1" customWidth="1"/>
    <col min="2807" max="2807" width="2.109375" bestFit="1" customWidth="1"/>
    <col min="2808" max="2808" width="4.109375" bestFit="1" customWidth="1"/>
    <col min="2809" max="2809" width="7.109375" bestFit="1" customWidth="1"/>
    <col min="2810" max="2810" width="6.21875" bestFit="1" customWidth="1"/>
    <col min="2811" max="2811" width="5.88671875" bestFit="1" customWidth="1"/>
    <col min="2812" max="2812" width="11" bestFit="1" customWidth="1"/>
    <col min="2813" max="2813" width="5.44140625" bestFit="1" customWidth="1"/>
    <col min="2814" max="2815" width="9" bestFit="1" customWidth="1"/>
    <col min="2816" max="2816" width="8" bestFit="1" customWidth="1"/>
    <col min="2817" max="2817" width="8.33203125" bestFit="1" customWidth="1"/>
    <col min="2818" max="2818" width="4.77734375" bestFit="1" customWidth="1"/>
    <col min="2820" max="2820" width="9.21875" bestFit="1" customWidth="1"/>
    <col min="2821" max="2821" width="10.109375" bestFit="1" customWidth="1"/>
    <col min="3060" max="3060" width="5.6640625" bestFit="1" customWidth="1"/>
    <col min="3061" max="3061" width="32.21875" customWidth="1"/>
    <col min="3062" max="3062" width="3.44140625" bestFit="1" customWidth="1"/>
    <col min="3063" max="3063" width="2.109375" bestFit="1" customWidth="1"/>
    <col min="3064" max="3064" width="4.109375" bestFit="1" customWidth="1"/>
    <col min="3065" max="3065" width="7.109375" bestFit="1" customWidth="1"/>
    <col min="3066" max="3066" width="6.21875" bestFit="1" customWidth="1"/>
    <col min="3067" max="3067" width="5.88671875" bestFit="1" customWidth="1"/>
    <col min="3068" max="3068" width="11" bestFit="1" customWidth="1"/>
    <col min="3069" max="3069" width="5.44140625" bestFit="1" customWidth="1"/>
    <col min="3070" max="3071" width="9" bestFit="1" customWidth="1"/>
    <col min="3072" max="3072" width="8" bestFit="1" customWidth="1"/>
    <col min="3073" max="3073" width="8.33203125" bestFit="1" customWidth="1"/>
    <col min="3074" max="3074" width="4.77734375" bestFit="1" customWidth="1"/>
    <col min="3076" max="3076" width="9.21875" bestFit="1" customWidth="1"/>
    <col min="3077" max="3077" width="10.109375" bestFit="1" customWidth="1"/>
    <col min="3316" max="3316" width="5.6640625" bestFit="1" customWidth="1"/>
    <col min="3317" max="3317" width="32.21875" customWidth="1"/>
    <col min="3318" max="3318" width="3.44140625" bestFit="1" customWidth="1"/>
    <col min="3319" max="3319" width="2.109375" bestFit="1" customWidth="1"/>
    <col min="3320" max="3320" width="4.109375" bestFit="1" customWidth="1"/>
    <col min="3321" max="3321" width="7.109375" bestFit="1" customWidth="1"/>
    <col min="3322" max="3322" width="6.21875" bestFit="1" customWidth="1"/>
    <col min="3323" max="3323" width="5.88671875" bestFit="1" customWidth="1"/>
    <col min="3324" max="3324" width="11" bestFit="1" customWidth="1"/>
    <col min="3325" max="3325" width="5.44140625" bestFit="1" customWidth="1"/>
    <col min="3326" max="3327" width="9" bestFit="1" customWidth="1"/>
    <col min="3328" max="3328" width="8" bestFit="1" customWidth="1"/>
    <col min="3329" max="3329" width="8.33203125" bestFit="1" customWidth="1"/>
    <col min="3330" max="3330" width="4.77734375" bestFit="1" customWidth="1"/>
    <col min="3332" max="3332" width="9.21875" bestFit="1" customWidth="1"/>
    <col min="3333" max="3333" width="10.109375" bestFit="1" customWidth="1"/>
    <col min="3572" max="3572" width="5.6640625" bestFit="1" customWidth="1"/>
    <col min="3573" max="3573" width="32.21875" customWidth="1"/>
    <col min="3574" max="3574" width="3.44140625" bestFit="1" customWidth="1"/>
    <col min="3575" max="3575" width="2.109375" bestFit="1" customWidth="1"/>
    <col min="3576" max="3576" width="4.109375" bestFit="1" customWidth="1"/>
    <col min="3577" max="3577" width="7.109375" bestFit="1" customWidth="1"/>
    <col min="3578" max="3578" width="6.21875" bestFit="1" customWidth="1"/>
    <col min="3579" max="3579" width="5.88671875" bestFit="1" customWidth="1"/>
    <col min="3580" max="3580" width="11" bestFit="1" customWidth="1"/>
    <col min="3581" max="3581" width="5.44140625" bestFit="1" customWidth="1"/>
    <col min="3582" max="3583" width="9" bestFit="1" customWidth="1"/>
    <col min="3584" max="3584" width="8" bestFit="1" customWidth="1"/>
    <col min="3585" max="3585" width="8.33203125" bestFit="1" customWidth="1"/>
    <col min="3586" max="3586" width="4.77734375" bestFit="1" customWidth="1"/>
    <col min="3588" max="3588" width="9.21875" bestFit="1" customWidth="1"/>
    <col min="3589" max="3589" width="10.109375" bestFit="1" customWidth="1"/>
    <col min="3828" max="3828" width="5.6640625" bestFit="1" customWidth="1"/>
    <col min="3829" max="3829" width="32.21875" customWidth="1"/>
    <col min="3830" max="3830" width="3.44140625" bestFit="1" customWidth="1"/>
    <col min="3831" max="3831" width="2.109375" bestFit="1" customWidth="1"/>
    <col min="3832" max="3832" width="4.109375" bestFit="1" customWidth="1"/>
    <col min="3833" max="3833" width="7.109375" bestFit="1" customWidth="1"/>
    <col min="3834" max="3834" width="6.21875" bestFit="1" customWidth="1"/>
    <col min="3835" max="3835" width="5.88671875" bestFit="1" customWidth="1"/>
    <col min="3836" max="3836" width="11" bestFit="1" customWidth="1"/>
    <col min="3837" max="3837" width="5.44140625" bestFit="1" customWidth="1"/>
    <col min="3838" max="3839" width="9" bestFit="1" customWidth="1"/>
    <col min="3840" max="3840" width="8" bestFit="1" customWidth="1"/>
    <col min="3841" max="3841" width="8.33203125" bestFit="1" customWidth="1"/>
    <col min="3842" max="3842" width="4.77734375" bestFit="1" customWidth="1"/>
    <col min="3844" max="3844" width="9.21875" bestFit="1" customWidth="1"/>
    <col min="3845" max="3845" width="10.109375" bestFit="1" customWidth="1"/>
    <col min="4084" max="4084" width="5.6640625" bestFit="1" customWidth="1"/>
    <col min="4085" max="4085" width="32.21875" customWidth="1"/>
    <col min="4086" max="4086" width="3.44140625" bestFit="1" customWidth="1"/>
    <col min="4087" max="4087" width="2.109375" bestFit="1" customWidth="1"/>
    <col min="4088" max="4088" width="4.109375" bestFit="1" customWidth="1"/>
    <col min="4089" max="4089" width="7.109375" bestFit="1" customWidth="1"/>
    <col min="4090" max="4090" width="6.21875" bestFit="1" customWidth="1"/>
    <col min="4091" max="4091" width="5.88671875" bestFit="1" customWidth="1"/>
    <col min="4092" max="4092" width="11" bestFit="1" customWidth="1"/>
    <col min="4093" max="4093" width="5.44140625" bestFit="1" customWidth="1"/>
    <col min="4094" max="4095" width="9" bestFit="1" customWidth="1"/>
    <col min="4096" max="4096" width="8" bestFit="1" customWidth="1"/>
    <col min="4097" max="4097" width="8.33203125" bestFit="1" customWidth="1"/>
    <col min="4098" max="4098" width="4.77734375" bestFit="1" customWidth="1"/>
    <col min="4100" max="4100" width="9.21875" bestFit="1" customWidth="1"/>
    <col min="4101" max="4101" width="10.109375" bestFit="1" customWidth="1"/>
    <col min="4340" max="4340" width="5.6640625" bestFit="1" customWidth="1"/>
    <col min="4341" max="4341" width="32.21875" customWidth="1"/>
    <col min="4342" max="4342" width="3.44140625" bestFit="1" customWidth="1"/>
    <col min="4343" max="4343" width="2.109375" bestFit="1" customWidth="1"/>
    <col min="4344" max="4344" width="4.109375" bestFit="1" customWidth="1"/>
    <col min="4345" max="4345" width="7.109375" bestFit="1" customWidth="1"/>
    <col min="4346" max="4346" width="6.21875" bestFit="1" customWidth="1"/>
    <col min="4347" max="4347" width="5.88671875" bestFit="1" customWidth="1"/>
    <col min="4348" max="4348" width="11" bestFit="1" customWidth="1"/>
    <col min="4349" max="4349" width="5.44140625" bestFit="1" customWidth="1"/>
    <col min="4350" max="4351" width="9" bestFit="1" customWidth="1"/>
    <col min="4352" max="4352" width="8" bestFit="1" customWidth="1"/>
    <col min="4353" max="4353" width="8.33203125" bestFit="1" customWidth="1"/>
    <col min="4354" max="4354" width="4.77734375" bestFit="1" customWidth="1"/>
    <col min="4356" max="4356" width="9.21875" bestFit="1" customWidth="1"/>
    <col min="4357" max="4357" width="10.109375" bestFit="1" customWidth="1"/>
    <col min="4596" max="4596" width="5.6640625" bestFit="1" customWidth="1"/>
    <col min="4597" max="4597" width="32.21875" customWidth="1"/>
    <col min="4598" max="4598" width="3.44140625" bestFit="1" customWidth="1"/>
    <col min="4599" max="4599" width="2.109375" bestFit="1" customWidth="1"/>
    <col min="4600" max="4600" width="4.109375" bestFit="1" customWidth="1"/>
    <col min="4601" max="4601" width="7.109375" bestFit="1" customWidth="1"/>
    <col min="4602" max="4602" width="6.21875" bestFit="1" customWidth="1"/>
    <col min="4603" max="4603" width="5.88671875" bestFit="1" customWidth="1"/>
    <col min="4604" max="4604" width="11" bestFit="1" customWidth="1"/>
    <col min="4605" max="4605" width="5.44140625" bestFit="1" customWidth="1"/>
    <col min="4606" max="4607" width="9" bestFit="1" customWidth="1"/>
    <col min="4608" max="4608" width="8" bestFit="1" customWidth="1"/>
    <col min="4609" max="4609" width="8.33203125" bestFit="1" customWidth="1"/>
    <col min="4610" max="4610" width="4.77734375" bestFit="1" customWidth="1"/>
    <col min="4612" max="4612" width="9.21875" bestFit="1" customWidth="1"/>
    <col min="4613" max="4613" width="10.109375" bestFit="1" customWidth="1"/>
    <col min="4852" max="4852" width="5.6640625" bestFit="1" customWidth="1"/>
    <col min="4853" max="4853" width="32.21875" customWidth="1"/>
    <col min="4854" max="4854" width="3.44140625" bestFit="1" customWidth="1"/>
    <col min="4855" max="4855" width="2.109375" bestFit="1" customWidth="1"/>
    <col min="4856" max="4856" width="4.109375" bestFit="1" customWidth="1"/>
    <col min="4857" max="4857" width="7.109375" bestFit="1" customWidth="1"/>
    <col min="4858" max="4858" width="6.21875" bestFit="1" customWidth="1"/>
    <col min="4859" max="4859" width="5.88671875" bestFit="1" customWidth="1"/>
    <col min="4860" max="4860" width="11" bestFit="1" customWidth="1"/>
    <col min="4861" max="4861" width="5.44140625" bestFit="1" customWidth="1"/>
    <col min="4862" max="4863" width="9" bestFit="1" customWidth="1"/>
    <col min="4864" max="4864" width="8" bestFit="1" customWidth="1"/>
    <col min="4865" max="4865" width="8.33203125" bestFit="1" customWidth="1"/>
    <col min="4866" max="4866" width="4.77734375" bestFit="1" customWidth="1"/>
    <col min="4868" max="4868" width="9.21875" bestFit="1" customWidth="1"/>
    <col min="4869" max="4869" width="10.109375" bestFit="1" customWidth="1"/>
    <col min="5108" max="5108" width="5.6640625" bestFit="1" customWidth="1"/>
    <col min="5109" max="5109" width="32.21875" customWidth="1"/>
    <col min="5110" max="5110" width="3.44140625" bestFit="1" customWidth="1"/>
    <col min="5111" max="5111" width="2.109375" bestFit="1" customWidth="1"/>
    <col min="5112" max="5112" width="4.109375" bestFit="1" customWidth="1"/>
    <col min="5113" max="5113" width="7.109375" bestFit="1" customWidth="1"/>
    <col min="5114" max="5114" width="6.21875" bestFit="1" customWidth="1"/>
    <col min="5115" max="5115" width="5.88671875" bestFit="1" customWidth="1"/>
    <col min="5116" max="5116" width="11" bestFit="1" customWidth="1"/>
    <col min="5117" max="5117" width="5.44140625" bestFit="1" customWidth="1"/>
    <col min="5118" max="5119" width="9" bestFit="1" customWidth="1"/>
    <col min="5120" max="5120" width="8" bestFit="1" customWidth="1"/>
    <col min="5121" max="5121" width="8.33203125" bestFit="1" customWidth="1"/>
    <col min="5122" max="5122" width="4.77734375" bestFit="1" customWidth="1"/>
    <col min="5124" max="5124" width="9.21875" bestFit="1" customWidth="1"/>
    <col min="5125" max="5125" width="10.109375" bestFit="1" customWidth="1"/>
    <col min="5364" max="5364" width="5.6640625" bestFit="1" customWidth="1"/>
    <col min="5365" max="5365" width="32.21875" customWidth="1"/>
    <col min="5366" max="5366" width="3.44140625" bestFit="1" customWidth="1"/>
    <col min="5367" max="5367" width="2.109375" bestFit="1" customWidth="1"/>
    <col min="5368" max="5368" width="4.109375" bestFit="1" customWidth="1"/>
    <col min="5369" max="5369" width="7.109375" bestFit="1" customWidth="1"/>
    <col min="5370" max="5370" width="6.21875" bestFit="1" customWidth="1"/>
    <col min="5371" max="5371" width="5.88671875" bestFit="1" customWidth="1"/>
    <col min="5372" max="5372" width="11" bestFit="1" customWidth="1"/>
    <col min="5373" max="5373" width="5.44140625" bestFit="1" customWidth="1"/>
    <col min="5374" max="5375" width="9" bestFit="1" customWidth="1"/>
    <col min="5376" max="5376" width="8" bestFit="1" customWidth="1"/>
    <col min="5377" max="5377" width="8.33203125" bestFit="1" customWidth="1"/>
    <col min="5378" max="5378" width="4.77734375" bestFit="1" customWidth="1"/>
    <col min="5380" max="5380" width="9.21875" bestFit="1" customWidth="1"/>
    <col min="5381" max="5381" width="10.109375" bestFit="1" customWidth="1"/>
    <col min="5620" max="5620" width="5.6640625" bestFit="1" customWidth="1"/>
    <col min="5621" max="5621" width="32.21875" customWidth="1"/>
    <col min="5622" max="5622" width="3.44140625" bestFit="1" customWidth="1"/>
    <col min="5623" max="5623" width="2.109375" bestFit="1" customWidth="1"/>
    <col min="5624" max="5624" width="4.109375" bestFit="1" customWidth="1"/>
    <col min="5625" max="5625" width="7.109375" bestFit="1" customWidth="1"/>
    <col min="5626" max="5626" width="6.21875" bestFit="1" customWidth="1"/>
    <col min="5627" max="5627" width="5.88671875" bestFit="1" customWidth="1"/>
    <col min="5628" max="5628" width="11" bestFit="1" customWidth="1"/>
    <col min="5629" max="5629" width="5.44140625" bestFit="1" customWidth="1"/>
    <col min="5630" max="5631" width="9" bestFit="1" customWidth="1"/>
    <col min="5632" max="5632" width="8" bestFit="1" customWidth="1"/>
    <col min="5633" max="5633" width="8.33203125" bestFit="1" customWidth="1"/>
    <col min="5634" max="5634" width="4.77734375" bestFit="1" customWidth="1"/>
    <col min="5636" max="5636" width="9.21875" bestFit="1" customWidth="1"/>
    <col min="5637" max="5637" width="10.109375" bestFit="1" customWidth="1"/>
    <col min="5876" max="5876" width="5.6640625" bestFit="1" customWidth="1"/>
    <col min="5877" max="5877" width="32.21875" customWidth="1"/>
    <col min="5878" max="5878" width="3.44140625" bestFit="1" customWidth="1"/>
    <col min="5879" max="5879" width="2.109375" bestFit="1" customWidth="1"/>
    <col min="5880" max="5880" width="4.109375" bestFit="1" customWidth="1"/>
    <col min="5881" max="5881" width="7.109375" bestFit="1" customWidth="1"/>
    <col min="5882" max="5882" width="6.21875" bestFit="1" customWidth="1"/>
    <col min="5883" max="5883" width="5.88671875" bestFit="1" customWidth="1"/>
    <col min="5884" max="5884" width="11" bestFit="1" customWidth="1"/>
    <col min="5885" max="5885" width="5.44140625" bestFit="1" customWidth="1"/>
    <col min="5886" max="5887" width="9" bestFit="1" customWidth="1"/>
    <col min="5888" max="5888" width="8" bestFit="1" customWidth="1"/>
    <col min="5889" max="5889" width="8.33203125" bestFit="1" customWidth="1"/>
    <col min="5890" max="5890" width="4.77734375" bestFit="1" customWidth="1"/>
    <col min="5892" max="5892" width="9.21875" bestFit="1" customWidth="1"/>
    <col min="5893" max="5893" width="10.109375" bestFit="1" customWidth="1"/>
    <col min="6132" max="6132" width="5.6640625" bestFit="1" customWidth="1"/>
    <col min="6133" max="6133" width="32.21875" customWidth="1"/>
    <col min="6134" max="6134" width="3.44140625" bestFit="1" customWidth="1"/>
    <col min="6135" max="6135" width="2.109375" bestFit="1" customWidth="1"/>
    <col min="6136" max="6136" width="4.109375" bestFit="1" customWidth="1"/>
    <col min="6137" max="6137" width="7.109375" bestFit="1" customWidth="1"/>
    <col min="6138" max="6138" width="6.21875" bestFit="1" customWidth="1"/>
    <col min="6139" max="6139" width="5.88671875" bestFit="1" customWidth="1"/>
    <col min="6140" max="6140" width="11" bestFit="1" customWidth="1"/>
    <col min="6141" max="6141" width="5.44140625" bestFit="1" customWidth="1"/>
    <col min="6142" max="6143" width="9" bestFit="1" customWidth="1"/>
    <col min="6144" max="6144" width="8" bestFit="1" customWidth="1"/>
    <col min="6145" max="6145" width="8.33203125" bestFit="1" customWidth="1"/>
    <col min="6146" max="6146" width="4.77734375" bestFit="1" customWidth="1"/>
    <col min="6148" max="6148" width="9.21875" bestFit="1" customWidth="1"/>
    <col min="6149" max="6149" width="10.109375" bestFit="1" customWidth="1"/>
    <col min="6388" max="6388" width="5.6640625" bestFit="1" customWidth="1"/>
    <col min="6389" max="6389" width="32.21875" customWidth="1"/>
    <col min="6390" max="6390" width="3.44140625" bestFit="1" customWidth="1"/>
    <col min="6391" max="6391" width="2.109375" bestFit="1" customWidth="1"/>
    <col min="6392" max="6392" width="4.109375" bestFit="1" customWidth="1"/>
    <col min="6393" max="6393" width="7.109375" bestFit="1" customWidth="1"/>
    <col min="6394" max="6394" width="6.21875" bestFit="1" customWidth="1"/>
    <col min="6395" max="6395" width="5.88671875" bestFit="1" customWidth="1"/>
    <col min="6396" max="6396" width="11" bestFit="1" customWidth="1"/>
    <col min="6397" max="6397" width="5.44140625" bestFit="1" customWidth="1"/>
    <col min="6398" max="6399" width="9" bestFit="1" customWidth="1"/>
    <col min="6400" max="6400" width="8" bestFit="1" customWidth="1"/>
    <col min="6401" max="6401" width="8.33203125" bestFit="1" customWidth="1"/>
    <col min="6402" max="6402" width="4.77734375" bestFit="1" customWidth="1"/>
    <col min="6404" max="6404" width="9.21875" bestFit="1" customWidth="1"/>
    <col min="6405" max="6405" width="10.109375" bestFit="1" customWidth="1"/>
    <col min="6644" max="6644" width="5.6640625" bestFit="1" customWidth="1"/>
    <col min="6645" max="6645" width="32.21875" customWidth="1"/>
    <col min="6646" max="6646" width="3.44140625" bestFit="1" customWidth="1"/>
    <col min="6647" max="6647" width="2.109375" bestFit="1" customWidth="1"/>
    <col min="6648" max="6648" width="4.109375" bestFit="1" customWidth="1"/>
    <col min="6649" max="6649" width="7.109375" bestFit="1" customWidth="1"/>
    <col min="6650" max="6650" width="6.21875" bestFit="1" customWidth="1"/>
    <col min="6651" max="6651" width="5.88671875" bestFit="1" customWidth="1"/>
    <col min="6652" max="6652" width="11" bestFit="1" customWidth="1"/>
    <col min="6653" max="6653" width="5.44140625" bestFit="1" customWidth="1"/>
    <col min="6654" max="6655" width="9" bestFit="1" customWidth="1"/>
    <col min="6656" max="6656" width="8" bestFit="1" customWidth="1"/>
    <col min="6657" max="6657" width="8.33203125" bestFit="1" customWidth="1"/>
    <col min="6658" max="6658" width="4.77734375" bestFit="1" customWidth="1"/>
    <col min="6660" max="6660" width="9.21875" bestFit="1" customWidth="1"/>
    <col min="6661" max="6661" width="10.109375" bestFit="1" customWidth="1"/>
    <col min="6900" max="6900" width="5.6640625" bestFit="1" customWidth="1"/>
    <col min="6901" max="6901" width="32.21875" customWidth="1"/>
    <col min="6902" max="6902" width="3.44140625" bestFit="1" customWidth="1"/>
    <col min="6903" max="6903" width="2.109375" bestFit="1" customWidth="1"/>
    <col min="6904" max="6904" width="4.109375" bestFit="1" customWidth="1"/>
    <col min="6905" max="6905" width="7.109375" bestFit="1" customWidth="1"/>
    <col min="6906" max="6906" width="6.21875" bestFit="1" customWidth="1"/>
    <col min="6907" max="6907" width="5.88671875" bestFit="1" customWidth="1"/>
    <col min="6908" max="6908" width="11" bestFit="1" customWidth="1"/>
    <col min="6909" max="6909" width="5.44140625" bestFit="1" customWidth="1"/>
    <col min="6910" max="6911" width="9" bestFit="1" customWidth="1"/>
    <col min="6912" max="6912" width="8" bestFit="1" customWidth="1"/>
    <col min="6913" max="6913" width="8.33203125" bestFit="1" customWidth="1"/>
    <col min="6914" max="6914" width="4.77734375" bestFit="1" customWidth="1"/>
    <col min="6916" max="6916" width="9.21875" bestFit="1" customWidth="1"/>
    <col min="6917" max="6917" width="10.109375" bestFit="1" customWidth="1"/>
    <col min="7156" max="7156" width="5.6640625" bestFit="1" customWidth="1"/>
    <col min="7157" max="7157" width="32.21875" customWidth="1"/>
    <col min="7158" max="7158" width="3.44140625" bestFit="1" customWidth="1"/>
    <col min="7159" max="7159" width="2.109375" bestFit="1" customWidth="1"/>
    <col min="7160" max="7160" width="4.109375" bestFit="1" customWidth="1"/>
    <col min="7161" max="7161" width="7.109375" bestFit="1" customWidth="1"/>
    <col min="7162" max="7162" width="6.21875" bestFit="1" customWidth="1"/>
    <col min="7163" max="7163" width="5.88671875" bestFit="1" customWidth="1"/>
    <col min="7164" max="7164" width="11" bestFit="1" customWidth="1"/>
    <col min="7165" max="7165" width="5.44140625" bestFit="1" customWidth="1"/>
    <col min="7166" max="7167" width="9" bestFit="1" customWidth="1"/>
    <col min="7168" max="7168" width="8" bestFit="1" customWidth="1"/>
    <col min="7169" max="7169" width="8.33203125" bestFit="1" customWidth="1"/>
    <col min="7170" max="7170" width="4.77734375" bestFit="1" customWidth="1"/>
    <col min="7172" max="7172" width="9.21875" bestFit="1" customWidth="1"/>
    <col min="7173" max="7173" width="10.109375" bestFit="1" customWidth="1"/>
    <col min="7412" max="7412" width="5.6640625" bestFit="1" customWidth="1"/>
    <col min="7413" max="7413" width="32.21875" customWidth="1"/>
    <col min="7414" max="7414" width="3.44140625" bestFit="1" customWidth="1"/>
    <col min="7415" max="7415" width="2.109375" bestFit="1" customWidth="1"/>
    <col min="7416" max="7416" width="4.109375" bestFit="1" customWidth="1"/>
    <col min="7417" max="7417" width="7.109375" bestFit="1" customWidth="1"/>
    <col min="7418" max="7418" width="6.21875" bestFit="1" customWidth="1"/>
    <col min="7419" max="7419" width="5.88671875" bestFit="1" customWidth="1"/>
    <col min="7420" max="7420" width="11" bestFit="1" customWidth="1"/>
    <col min="7421" max="7421" width="5.44140625" bestFit="1" customWidth="1"/>
    <col min="7422" max="7423" width="9" bestFit="1" customWidth="1"/>
    <col min="7424" max="7424" width="8" bestFit="1" customWidth="1"/>
    <col min="7425" max="7425" width="8.33203125" bestFit="1" customWidth="1"/>
    <col min="7426" max="7426" width="4.77734375" bestFit="1" customWidth="1"/>
    <col min="7428" max="7428" width="9.21875" bestFit="1" customWidth="1"/>
    <col min="7429" max="7429" width="10.109375" bestFit="1" customWidth="1"/>
    <col min="7668" max="7668" width="5.6640625" bestFit="1" customWidth="1"/>
    <col min="7669" max="7669" width="32.21875" customWidth="1"/>
    <col min="7670" max="7670" width="3.44140625" bestFit="1" customWidth="1"/>
    <col min="7671" max="7671" width="2.109375" bestFit="1" customWidth="1"/>
    <col min="7672" max="7672" width="4.109375" bestFit="1" customWidth="1"/>
    <col min="7673" max="7673" width="7.109375" bestFit="1" customWidth="1"/>
    <col min="7674" max="7674" width="6.21875" bestFit="1" customWidth="1"/>
    <col min="7675" max="7675" width="5.88671875" bestFit="1" customWidth="1"/>
    <col min="7676" max="7676" width="11" bestFit="1" customWidth="1"/>
    <col min="7677" max="7677" width="5.44140625" bestFit="1" customWidth="1"/>
    <col min="7678" max="7679" width="9" bestFit="1" customWidth="1"/>
    <col min="7680" max="7680" width="8" bestFit="1" customWidth="1"/>
    <col min="7681" max="7681" width="8.33203125" bestFit="1" customWidth="1"/>
    <col min="7682" max="7682" width="4.77734375" bestFit="1" customWidth="1"/>
    <col min="7684" max="7684" width="9.21875" bestFit="1" customWidth="1"/>
    <col min="7685" max="7685" width="10.109375" bestFit="1" customWidth="1"/>
    <col min="7924" max="7924" width="5.6640625" bestFit="1" customWidth="1"/>
    <col min="7925" max="7925" width="32.21875" customWidth="1"/>
    <col min="7926" max="7926" width="3.44140625" bestFit="1" customWidth="1"/>
    <col min="7927" max="7927" width="2.109375" bestFit="1" customWidth="1"/>
    <col min="7928" max="7928" width="4.109375" bestFit="1" customWidth="1"/>
    <col min="7929" max="7929" width="7.109375" bestFit="1" customWidth="1"/>
    <col min="7930" max="7930" width="6.21875" bestFit="1" customWidth="1"/>
    <col min="7931" max="7931" width="5.88671875" bestFit="1" customWidth="1"/>
    <col min="7932" max="7932" width="11" bestFit="1" customWidth="1"/>
    <col min="7933" max="7933" width="5.44140625" bestFit="1" customWidth="1"/>
    <col min="7934" max="7935" width="9" bestFit="1" customWidth="1"/>
    <col min="7936" max="7936" width="8" bestFit="1" customWidth="1"/>
    <col min="7937" max="7937" width="8.33203125" bestFit="1" customWidth="1"/>
    <col min="7938" max="7938" width="4.77734375" bestFit="1" customWidth="1"/>
    <col min="7940" max="7940" width="9.21875" bestFit="1" customWidth="1"/>
    <col min="7941" max="7941" width="10.109375" bestFit="1" customWidth="1"/>
    <col min="8180" max="8180" width="5.6640625" bestFit="1" customWidth="1"/>
    <col min="8181" max="8181" width="32.21875" customWidth="1"/>
    <col min="8182" max="8182" width="3.44140625" bestFit="1" customWidth="1"/>
    <col min="8183" max="8183" width="2.109375" bestFit="1" customWidth="1"/>
    <col min="8184" max="8184" width="4.109375" bestFit="1" customWidth="1"/>
    <col min="8185" max="8185" width="7.109375" bestFit="1" customWidth="1"/>
    <col min="8186" max="8186" width="6.21875" bestFit="1" customWidth="1"/>
    <col min="8187" max="8187" width="5.88671875" bestFit="1" customWidth="1"/>
    <col min="8188" max="8188" width="11" bestFit="1" customWidth="1"/>
    <col min="8189" max="8189" width="5.44140625" bestFit="1" customWidth="1"/>
    <col min="8190" max="8191" width="9" bestFit="1" customWidth="1"/>
    <col min="8192" max="8192" width="8" bestFit="1" customWidth="1"/>
    <col min="8193" max="8193" width="8.33203125" bestFit="1" customWidth="1"/>
    <col min="8194" max="8194" width="4.77734375" bestFit="1" customWidth="1"/>
    <col min="8196" max="8196" width="9.21875" bestFit="1" customWidth="1"/>
    <col min="8197" max="8197" width="10.109375" bestFit="1" customWidth="1"/>
    <col min="8436" max="8436" width="5.6640625" bestFit="1" customWidth="1"/>
    <col min="8437" max="8437" width="32.21875" customWidth="1"/>
    <col min="8438" max="8438" width="3.44140625" bestFit="1" customWidth="1"/>
    <col min="8439" max="8439" width="2.109375" bestFit="1" customWidth="1"/>
    <col min="8440" max="8440" width="4.109375" bestFit="1" customWidth="1"/>
    <col min="8441" max="8441" width="7.109375" bestFit="1" customWidth="1"/>
    <col min="8442" max="8442" width="6.21875" bestFit="1" customWidth="1"/>
    <col min="8443" max="8443" width="5.88671875" bestFit="1" customWidth="1"/>
    <col min="8444" max="8444" width="11" bestFit="1" customWidth="1"/>
    <col min="8445" max="8445" width="5.44140625" bestFit="1" customWidth="1"/>
    <col min="8446" max="8447" width="9" bestFit="1" customWidth="1"/>
    <col min="8448" max="8448" width="8" bestFit="1" customWidth="1"/>
    <col min="8449" max="8449" width="8.33203125" bestFit="1" customWidth="1"/>
    <col min="8450" max="8450" width="4.77734375" bestFit="1" customWidth="1"/>
    <col min="8452" max="8452" width="9.21875" bestFit="1" customWidth="1"/>
    <col min="8453" max="8453" width="10.109375" bestFit="1" customWidth="1"/>
    <col min="8692" max="8692" width="5.6640625" bestFit="1" customWidth="1"/>
    <col min="8693" max="8693" width="32.21875" customWidth="1"/>
    <col min="8694" max="8694" width="3.44140625" bestFit="1" customWidth="1"/>
    <col min="8695" max="8695" width="2.109375" bestFit="1" customWidth="1"/>
    <col min="8696" max="8696" width="4.109375" bestFit="1" customWidth="1"/>
    <col min="8697" max="8697" width="7.109375" bestFit="1" customWidth="1"/>
    <col min="8698" max="8698" width="6.21875" bestFit="1" customWidth="1"/>
    <col min="8699" max="8699" width="5.88671875" bestFit="1" customWidth="1"/>
    <col min="8700" max="8700" width="11" bestFit="1" customWidth="1"/>
    <col min="8701" max="8701" width="5.44140625" bestFit="1" customWidth="1"/>
    <col min="8702" max="8703" width="9" bestFit="1" customWidth="1"/>
    <col min="8704" max="8704" width="8" bestFit="1" customWidth="1"/>
    <col min="8705" max="8705" width="8.33203125" bestFit="1" customWidth="1"/>
    <col min="8706" max="8706" width="4.77734375" bestFit="1" customWidth="1"/>
    <col min="8708" max="8708" width="9.21875" bestFit="1" customWidth="1"/>
    <col min="8709" max="8709" width="10.109375" bestFit="1" customWidth="1"/>
    <col min="8948" max="8948" width="5.6640625" bestFit="1" customWidth="1"/>
    <col min="8949" max="8949" width="32.21875" customWidth="1"/>
    <col min="8950" max="8950" width="3.44140625" bestFit="1" customWidth="1"/>
    <col min="8951" max="8951" width="2.109375" bestFit="1" customWidth="1"/>
    <col min="8952" max="8952" width="4.109375" bestFit="1" customWidth="1"/>
    <col min="8953" max="8953" width="7.109375" bestFit="1" customWidth="1"/>
    <col min="8954" max="8954" width="6.21875" bestFit="1" customWidth="1"/>
    <col min="8955" max="8955" width="5.88671875" bestFit="1" customWidth="1"/>
    <col min="8956" max="8956" width="11" bestFit="1" customWidth="1"/>
    <col min="8957" max="8957" width="5.44140625" bestFit="1" customWidth="1"/>
    <col min="8958" max="8959" width="9" bestFit="1" customWidth="1"/>
    <col min="8960" max="8960" width="8" bestFit="1" customWidth="1"/>
    <col min="8961" max="8961" width="8.33203125" bestFit="1" customWidth="1"/>
    <col min="8962" max="8962" width="4.77734375" bestFit="1" customWidth="1"/>
    <col min="8964" max="8964" width="9.21875" bestFit="1" customWidth="1"/>
    <col min="8965" max="8965" width="10.109375" bestFit="1" customWidth="1"/>
    <col min="9204" max="9204" width="5.6640625" bestFit="1" customWidth="1"/>
    <col min="9205" max="9205" width="32.21875" customWidth="1"/>
    <col min="9206" max="9206" width="3.44140625" bestFit="1" customWidth="1"/>
    <col min="9207" max="9207" width="2.109375" bestFit="1" customWidth="1"/>
    <col min="9208" max="9208" width="4.109375" bestFit="1" customWidth="1"/>
    <col min="9209" max="9209" width="7.109375" bestFit="1" customWidth="1"/>
    <col min="9210" max="9210" width="6.21875" bestFit="1" customWidth="1"/>
    <col min="9211" max="9211" width="5.88671875" bestFit="1" customWidth="1"/>
    <col min="9212" max="9212" width="11" bestFit="1" customWidth="1"/>
    <col min="9213" max="9213" width="5.44140625" bestFit="1" customWidth="1"/>
    <col min="9214" max="9215" width="9" bestFit="1" customWidth="1"/>
    <col min="9216" max="9216" width="8" bestFit="1" customWidth="1"/>
    <col min="9217" max="9217" width="8.33203125" bestFit="1" customWidth="1"/>
    <col min="9218" max="9218" width="4.77734375" bestFit="1" customWidth="1"/>
    <col min="9220" max="9220" width="9.21875" bestFit="1" customWidth="1"/>
    <col min="9221" max="9221" width="10.109375" bestFit="1" customWidth="1"/>
    <col min="9460" max="9460" width="5.6640625" bestFit="1" customWidth="1"/>
    <col min="9461" max="9461" width="32.21875" customWidth="1"/>
    <col min="9462" max="9462" width="3.44140625" bestFit="1" customWidth="1"/>
    <col min="9463" max="9463" width="2.109375" bestFit="1" customWidth="1"/>
    <col min="9464" max="9464" width="4.109375" bestFit="1" customWidth="1"/>
    <col min="9465" max="9465" width="7.109375" bestFit="1" customWidth="1"/>
    <col min="9466" max="9466" width="6.21875" bestFit="1" customWidth="1"/>
    <col min="9467" max="9467" width="5.88671875" bestFit="1" customWidth="1"/>
    <col min="9468" max="9468" width="11" bestFit="1" customWidth="1"/>
    <col min="9469" max="9469" width="5.44140625" bestFit="1" customWidth="1"/>
    <col min="9470" max="9471" width="9" bestFit="1" customWidth="1"/>
    <col min="9472" max="9472" width="8" bestFit="1" customWidth="1"/>
    <col min="9473" max="9473" width="8.33203125" bestFit="1" customWidth="1"/>
    <col min="9474" max="9474" width="4.77734375" bestFit="1" customWidth="1"/>
    <col min="9476" max="9476" width="9.21875" bestFit="1" customWidth="1"/>
    <col min="9477" max="9477" width="10.109375" bestFit="1" customWidth="1"/>
    <col min="9716" max="9716" width="5.6640625" bestFit="1" customWidth="1"/>
    <col min="9717" max="9717" width="32.21875" customWidth="1"/>
    <col min="9718" max="9718" width="3.44140625" bestFit="1" customWidth="1"/>
    <col min="9719" max="9719" width="2.109375" bestFit="1" customWidth="1"/>
    <col min="9720" max="9720" width="4.109375" bestFit="1" customWidth="1"/>
    <col min="9721" max="9721" width="7.109375" bestFit="1" customWidth="1"/>
    <col min="9722" max="9722" width="6.21875" bestFit="1" customWidth="1"/>
    <col min="9723" max="9723" width="5.88671875" bestFit="1" customWidth="1"/>
    <col min="9724" max="9724" width="11" bestFit="1" customWidth="1"/>
    <col min="9725" max="9725" width="5.44140625" bestFit="1" customWidth="1"/>
    <col min="9726" max="9727" width="9" bestFit="1" customWidth="1"/>
    <col min="9728" max="9728" width="8" bestFit="1" customWidth="1"/>
    <col min="9729" max="9729" width="8.33203125" bestFit="1" customWidth="1"/>
    <col min="9730" max="9730" width="4.77734375" bestFit="1" customWidth="1"/>
    <col min="9732" max="9732" width="9.21875" bestFit="1" customWidth="1"/>
    <col min="9733" max="9733" width="10.109375" bestFit="1" customWidth="1"/>
    <col min="9972" max="9972" width="5.6640625" bestFit="1" customWidth="1"/>
    <col min="9973" max="9973" width="32.21875" customWidth="1"/>
    <col min="9974" max="9974" width="3.44140625" bestFit="1" customWidth="1"/>
    <col min="9975" max="9975" width="2.109375" bestFit="1" customWidth="1"/>
    <col min="9976" max="9976" width="4.109375" bestFit="1" customWidth="1"/>
    <col min="9977" max="9977" width="7.109375" bestFit="1" customWidth="1"/>
    <col min="9978" max="9978" width="6.21875" bestFit="1" customWidth="1"/>
    <col min="9979" max="9979" width="5.88671875" bestFit="1" customWidth="1"/>
    <col min="9980" max="9980" width="11" bestFit="1" customWidth="1"/>
    <col min="9981" max="9981" width="5.44140625" bestFit="1" customWidth="1"/>
    <col min="9982" max="9983" width="9" bestFit="1" customWidth="1"/>
    <col min="9984" max="9984" width="8" bestFit="1" customWidth="1"/>
    <col min="9985" max="9985" width="8.33203125" bestFit="1" customWidth="1"/>
    <col min="9986" max="9986" width="4.77734375" bestFit="1" customWidth="1"/>
    <col min="9988" max="9988" width="9.21875" bestFit="1" customWidth="1"/>
    <col min="9989" max="9989" width="10.109375" bestFit="1" customWidth="1"/>
    <col min="10228" max="10228" width="5.6640625" bestFit="1" customWidth="1"/>
    <col min="10229" max="10229" width="32.21875" customWidth="1"/>
    <col min="10230" max="10230" width="3.44140625" bestFit="1" customWidth="1"/>
    <col min="10231" max="10231" width="2.109375" bestFit="1" customWidth="1"/>
    <col min="10232" max="10232" width="4.109375" bestFit="1" customWidth="1"/>
    <col min="10233" max="10233" width="7.109375" bestFit="1" customWidth="1"/>
    <col min="10234" max="10234" width="6.21875" bestFit="1" customWidth="1"/>
    <col min="10235" max="10235" width="5.88671875" bestFit="1" customWidth="1"/>
    <col min="10236" max="10236" width="11" bestFit="1" customWidth="1"/>
    <col min="10237" max="10237" width="5.44140625" bestFit="1" customWidth="1"/>
    <col min="10238" max="10239" width="9" bestFit="1" customWidth="1"/>
    <col min="10240" max="10240" width="8" bestFit="1" customWidth="1"/>
    <col min="10241" max="10241" width="8.33203125" bestFit="1" customWidth="1"/>
    <col min="10242" max="10242" width="4.77734375" bestFit="1" customWidth="1"/>
    <col min="10244" max="10244" width="9.21875" bestFit="1" customWidth="1"/>
    <col min="10245" max="10245" width="10.109375" bestFit="1" customWidth="1"/>
    <col min="10484" max="10484" width="5.6640625" bestFit="1" customWidth="1"/>
    <col min="10485" max="10485" width="32.21875" customWidth="1"/>
    <col min="10486" max="10486" width="3.44140625" bestFit="1" customWidth="1"/>
    <col min="10487" max="10487" width="2.109375" bestFit="1" customWidth="1"/>
    <col min="10488" max="10488" width="4.109375" bestFit="1" customWidth="1"/>
    <col min="10489" max="10489" width="7.109375" bestFit="1" customWidth="1"/>
    <col min="10490" max="10490" width="6.21875" bestFit="1" customWidth="1"/>
    <col min="10491" max="10491" width="5.88671875" bestFit="1" customWidth="1"/>
    <col min="10492" max="10492" width="11" bestFit="1" customWidth="1"/>
    <col min="10493" max="10493" width="5.44140625" bestFit="1" customWidth="1"/>
    <col min="10494" max="10495" width="9" bestFit="1" customWidth="1"/>
    <col min="10496" max="10496" width="8" bestFit="1" customWidth="1"/>
    <col min="10497" max="10497" width="8.33203125" bestFit="1" customWidth="1"/>
    <col min="10498" max="10498" width="4.77734375" bestFit="1" customWidth="1"/>
    <col min="10500" max="10500" width="9.21875" bestFit="1" customWidth="1"/>
    <col min="10501" max="10501" width="10.109375" bestFit="1" customWidth="1"/>
    <col min="10740" max="10740" width="5.6640625" bestFit="1" customWidth="1"/>
    <col min="10741" max="10741" width="32.21875" customWidth="1"/>
    <col min="10742" max="10742" width="3.44140625" bestFit="1" customWidth="1"/>
    <col min="10743" max="10743" width="2.109375" bestFit="1" customWidth="1"/>
    <col min="10744" max="10744" width="4.109375" bestFit="1" customWidth="1"/>
    <col min="10745" max="10745" width="7.109375" bestFit="1" customWidth="1"/>
    <col min="10746" max="10746" width="6.21875" bestFit="1" customWidth="1"/>
    <col min="10747" max="10747" width="5.88671875" bestFit="1" customWidth="1"/>
    <col min="10748" max="10748" width="11" bestFit="1" customWidth="1"/>
    <col min="10749" max="10749" width="5.44140625" bestFit="1" customWidth="1"/>
    <col min="10750" max="10751" width="9" bestFit="1" customWidth="1"/>
    <col min="10752" max="10752" width="8" bestFit="1" customWidth="1"/>
    <col min="10753" max="10753" width="8.33203125" bestFit="1" customWidth="1"/>
    <col min="10754" max="10754" width="4.77734375" bestFit="1" customWidth="1"/>
    <col min="10756" max="10756" width="9.21875" bestFit="1" customWidth="1"/>
    <col min="10757" max="10757" width="10.109375" bestFit="1" customWidth="1"/>
    <col min="10996" max="10996" width="5.6640625" bestFit="1" customWidth="1"/>
    <col min="10997" max="10997" width="32.21875" customWidth="1"/>
    <col min="10998" max="10998" width="3.44140625" bestFit="1" customWidth="1"/>
    <col min="10999" max="10999" width="2.109375" bestFit="1" customWidth="1"/>
    <col min="11000" max="11000" width="4.109375" bestFit="1" customWidth="1"/>
    <col min="11001" max="11001" width="7.109375" bestFit="1" customWidth="1"/>
    <col min="11002" max="11002" width="6.21875" bestFit="1" customWidth="1"/>
    <col min="11003" max="11003" width="5.88671875" bestFit="1" customWidth="1"/>
    <col min="11004" max="11004" width="11" bestFit="1" customWidth="1"/>
    <col min="11005" max="11005" width="5.44140625" bestFit="1" customWidth="1"/>
    <col min="11006" max="11007" width="9" bestFit="1" customWidth="1"/>
    <col min="11008" max="11008" width="8" bestFit="1" customWidth="1"/>
    <col min="11009" max="11009" width="8.33203125" bestFit="1" customWidth="1"/>
    <col min="11010" max="11010" width="4.77734375" bestFit="1" customWidth="1"/>
    <col min="11012" max="11012" width="9.21875" bestFit="1" customWidth="1"/>
    <col min="11013" max="11013" width="10.109375" bestFit="1" customWidth="1"/>
    <col min="11252" max="11252" width="5.6640625" bestFit="1" customWidth="1"/>
    <col min="11253" max="11253" width="32.21875" customWidth="1"/>
    <col min="11254" max="11254" width="3.44140625" bestFit="1" customWidth="1"/>
    <col min="11255" max="11255" width="2.109375" bestFit="1" customWidth="1"/>
    <col min="11256" max="11256" width="4.109375" bestFit="1" customWidth="1"/>
    <col min="11257" max="11257" width="7.109375" bestFit="1" customWidth="1"/>
    <col min="11258" max="11258" width="6.21875" bestFit="1" customWidth="1"/>
    <col min="11259" max="11259" width="5.88671875" bestFit="1" customWidth="1"/>
    <col min="11260" max="11260" width="11" bestFit="1" customWidth="1"/>
    <col min="11261" max="11261" width="5.44140625" bestFit="1" customWidth="1"/>
    <col min="11262" max="11263" width="9" bestFit="1" customWidth="1"/>
    <col min="11264" max="11264" width="8" bestFit="1" customWidth="1"/>
    <col min="11265" max="11265" width="8.33203125" bestFit="1" customWidth="1"/>
    <col min="11266" max="11266" width="4.77734375" bestFit="1" customWidth="1"/>
    <col min="11268" max="11268" width="9.21875" bestFit="1" customWidth="1"/>
    <col min="11269" max="11269" width="10.109375" bestFit="1" customWidth="1"/>
    <col min="11508" max="11508" width="5.6640625" bestFit="1" customWidth="1"/>
    <col min="11509" max="11509" width="32.21875" customWidth="1"/>
    <col min="11510" max="11510" width="3.44140625" bestFit="1" customWidth="1"/>
    <col min="11511" max="11511" width="2.109375" bestFit="1" customWidth="1"/>
    <col min="11512" max="11512" width="4.109375" bestFit="1" customWidth="1"/>
    <col min="11513" max="11513" width="7.109375" bestFit="1" customWidth="1"/>
    <col min="11514" max="11514" width="6.21875" bestFit="1" customWidth="1"/>
    <col min="11515" max="11515" width="5.88671875" bestFit="1" customWidth="1"/>
    <col min="11516" max="11516" width="11" bestFit="1" customWidth="1"/>
    <col min="11517" max="11517" width="5.44140625" bestFit="1" customWidth="1"/>
    <col min="11518" max="11519" width="9" bestFit="1" customWidth="1"/>
    <col min="11520" max="11520" width="8" bestFit="1" customWidth="1"/>
    <col min="11521" max="11521" width="8.33203125" bestFit="1" customWidth="1"/>
    <col min="11522" max="11522" width="4.77734375" bestFit="1" customWidth="1"/>
    <col min="11524" max="11524" width="9.21875" bestFit="1" customWidth="1"/>
    <col min="11525" max="11525" width="10.109375" bestFit="1" customWidth="1"/>
    <col min="11764" max="11764" width="5.6640625" bestFit="1" customWidth="1"/>
    <col min="11765" max="11765" width="32.21875" customWidth="1"/>
    <col min="11766" max="11766" width="3.44140625" bestFit="1" customWidth="1"/>
    <col min="11767" max="11767" width="2.109375" bestFit="1" customWidth="1"/>
    <col min="11768" max="11768" width="4.109375" bestFit="1" customWidth="1"/>
    <col min="11769" max="11769" width="7.109375" bestFit="1" customWidth="1"/>
    <col min="11770" max="11770" width="6.21875" bestFit="1" customWidth="1"/>
    <col min="11771" max="11771" width="5.88671875" bestFit="1" customWidth="1"/>
    <col min="11772" max="11772" width="11" bestFit="1" customWidth="1"/>
    <col min="11773" max="11773" width="5.44140625" bestFit="1" customWidth="1"/>
    <col min="11774" max="11775" width="9" bestFit="1" customWidth="1"/>
    <col min="11776" max="11776" width="8" bestFit="1" customWidth="1"/>
    <col min="11777" max="11777" width="8.33203125" bestFit="1" customWidth="1"/>
    <col min="11778" max="11778" width="4.77734375" bestFit="1" customWidth="1"/>
    <col min="11780" max="11780" width="9.21875" bestFit="1" customWidth="1"/>
    <col min="11781" max="11781" width="10.109375" bestFit="1" customWidth="1"/>
    <col min="12020" max="12020" width="5.6640625" bestFit="1" customWidth="1"/>
    <col min="12021" max="12021" width="32.21875" customWidth="1"/>
    <col min="12022" max="12022" width="3.44140625" bestFit="1" customWidth="1"/>
    <col min="12023" max="12023" width="2.109375" bestFit="1" customWidth="1"/>
    <col min="12024" max="12024" width="4.109375" bestFit="1" customWidth="1"/>
    <col min="12025" max="12025" width="7.109375" bestFit="1" customWidth="1"/>
    <col min="12026" max="12026" width="6.21875" bestFit="1" customWidth="1"/>
    <col min="12027" max="12027" width="5.88671875" bestFit="1" customWidth="1"/>
    <col min="12028" max="12028" width="11" bestFit="1" customWidth="1"/>
    <col min="12029" max="12029" width="5.44140625" bestFit="1" customWidth="1"/>
    <col min="12030" max="12031" width="9" bestFit="1" customWidth="1"/>
    <col min="12032" max="12032" width="8" bestFit="1" customWidth="1"/>
    <col min="12033" max="12033" width="8.33203125" bestFit="1" customWidth="1"/>
    <col min="12034" max="12034" width="4.77734375" bestFit="1" customWidth="1"/>
    <col min="12036" max="12036" width="9.21875" bestFit="1" customWidth="1"/>
    <col min="12037" max="12037" width="10.109375" bestFit="1" customWidth="1"/>
    <col min="12276" max="12276" width="5.6640625" bestFit="1" customWidth="1"/>
    <col min="12277" max="12277" width="32.21875" customWidth="1"/>
    <col min="12278" max="12278" width="3.44140625" bestFit="1" customWidth="1"/>
    <col min="12279" max="12279" width="2.109375" bestFit="1" customWidth="1"/>
    <col min="12280" max="12280" width="4.109375" bestFit="1" customWidth="1"/>
    <col min="12281" max="12281" width="7.109375" bestFit="1" customWidth="1"/>
    <col min="12282" max="12282" width="6.21875" bestFit="1" customWidth="1"/>
    <col min="12283" max="12283" width="5.88671875" bestFit="1" customWidth="1"/>
    <col min="12284" max="12284" width="11" bestFit="1" customWidth="1"/>
    <col min="12285" max="12285" width="5.44140625" bestFit="1" customWidth="1"/>
    <col min="12286" max="12287" width="9" bestFit="1" customWidth="1"/>
    <col min="12288" max="12288" width="8" bestFit="1" customWidth="1"/>
    <col min="12289" max="12289" width="8.33203125" bestFit="1" customWidth="1"/>
    <col min="12290" max="12290" width="4.77734375" bestFit="1" customWidth="1"/>
    <col min="12292" max="12292" width="9.21875" bestFit="1" customWidth="1"/>
    <col min="12293" max="12293" width="10.109375" bestFit="1" customWidth="1"/>
    <col min="12532" max="12532" width="5.6640625" bestFit="1" customWidth="1"/>
    <col min="12533" max="12533" width="32.21875" customWidth="1"/>
    <col min="12534" max="12534" width="3.44140625" bestFit="1" customWidth="1"/>
    <col min="12535" max="12535" width="2.109375" bestFit="1" customWidth="1"/>
    <col min="12536" max="12536" width="4.109375" bestFit="1" customWidth="1"/>
    <col min="12537" max="12537" width="7.109375" bestFit="1" customWidth="1"/>
    <col min="12538" max="12538" width="6.21875" bestFit="1" customWidth="1"/>
    <col min="12539" max="12539" width="5.88671875" bestFit="1" customWidth="1"/>
    <col min="12540" max="12540" width="11" bestFit="1" customWidth="1"/>
    <col min="12541" max="12541" width="5.44140625" bestFit="1" customWidth="1"/>
    <col min="12542" max="12543" width="9" bestFit="1" customWidth="1"/>
    <col min="12544" max="12544" width="8" bestFit="1" customWidth="1"/>
    <col min="12545" max="12545" width="8.33203125" bestFit="1" customWidth="1"/>
    <col min="12546" max="12546" width="4.77734375" bestFit="1" customWidth="1"/>
    <col min="12548" max="12548" width="9.21875" bestFit="1" customWidth="1"/>
    <col min="12549" max="12549" width="10.109375" bestFit="1" customWidth="1"/>
    <col min="12788" max="12788" width="5.6640625" bestFit="1" customWidth="1"/>
    <col min="12789" max="12789" width="32.21875" customWidth="1"/>
    <col min="12790" max="12790" width="3.44140625" bestFit="1" customWidth="1"/>
    <col min="12791" max="12791" width="2.109375" bestFit="1" customWidth="1"/>
    <col min="12792" max="12792" width="4.109375" bestFit="1" customWidth="1"/>
    <col min="12793" max="12793" width="7.109375" bestFit="1" customWidth="1"/>
    <col min="12794" max="12794" width="6.21875" bestFit="1" customWidth="1"/>
    <col min="12795" max="12795" width="5.88671875" bestFit="1" customWidth="1"/>
    <col min="12796" max="12796" width="11" bestFit="1" customWidth="1"/>
    <col min="12797" max="12797" width="5.44140625" bestFit="1" customWidth="1"/>
    <col min="12798" max="12799" width="9" bestFit="1" customWidth="1"/>
    <col min="12800" max="12800" width="8" bestFit="1" customWidth="1"/>
    <col min="12801" max="12801" width="8.33203125" bestFit="1" customWidth="1"/>
    <col min="12802" max="12802" width="4.77734375" bestFit="1" customWidth="1"/>
    <col min="12804" max="12804" width="9.21875" bestFit="1" customWidth="1"/>
    <col min="12805" max="12805" width="10.109375" bestFit="1" customWidth="1"/>
    <col min="13044" max="13044" width="5.6640625" bestFit="1" customWidth="1"/>
    <col min="13045" max="13045" width="32.21875" customWidth="1"/>
    <col min="13046" max="13046" width="3.44140625" bestFit="1" customWidth="1"/>
    <col min="13047" max="13047" width="2.109375" bestFit="1" customWidth="1"/>
    <col min="13048" max="13048" width="4.109375" bestFit="1" customWidth="1"/>
    <col min="13049" max="13049" width="7.109375" bestFit="1" customWidth="1"/>
    <col min="13050" max="13050" width="6.21875" bestFit="1" customWidth="1"/>
    <col min="13051" max="13051" width="5.88671875" bestFit="1" customWidth="1"/>
    <col min="13052" max="13052" width="11" bestFit="1" customWidth="1"/>
    <col min="13053" max="13053" width="5.44140625" bestFit="1" customWidth="1"/>
    <col min="13054" max="13055" width="9" bestFit="1" customWidth="1"/>
    <col min="13056" max="13056" width="8" bestFit="1" customWidth="1"/>
    <col min="13057" max="13057" width="8.33203125" bestFit="1" customWidth="1"/>
    <col min="13058" max="13058" width="4.77734375" bestFit="1" customWidth="1"/>
    <col min="13060" max="13060" width="9.21875" bestFit="1" customWidth="1"/>
    <col min="13061" max="13061" width="10.109375" bestFit="1" customWidth="1"/>
    <col min="13300" max="13300" width="5.6640625" bestFit="1" customWidth="1"/>
    <col min="13301" max="13301" width="32.21875" customWidth="1"/>
    <col min="13302" max="13302" width="3.44140625" bestFit="1" customWidth="1"/>
    <col min="13303" max="13303" width="2.109375" bestFit="1" customWidth="1"/>
    <col min="13304" max="13304" width="4.109375" bestFit="1" customWidth="1"/>
    <col min="13305" max="13305" width="7.109375" bestFit="1" customWidth="1"/>
    <col min="13306" max="13306" width="6.21875" bestFit="1" customWidth="1"/>
    <col min="13307" max="13307" width="5.88671875" bestFit="1" customWidth="1"/>
    <col min="13308" max="13308" width="11" bestFit="1" customWidth="1"/>
    <col min="13309" max="13309" width="5.44140625" bestFit="1" customWidth="1"/>
    <col min="13310" max="13311" width="9" bestFit="1" customWidth="1"/>
    <col min="13312" max="13312" width="8" bestFit="1" customWidth="1"/>
    <col min="13313" max="13313" width="8.33203125" bestFit="1" customWidth="1"/>
    <col min="13314" max="13314" width="4.77734375" bestFit="1" customWidth="1"/>
    <col min="13316" max="13316" width="9.21875" bestFit="1" customWidth="1"/>
    <col min="13317" max="13317" width="10.109375" bestFit="1" customWidth="1"/>
    <col min="13556" max="13556" width="5.6640625" bestFit="1" customWidth="1"/>
    <col min="13557" max="13557" width="32.21875" customWidth="1"/>
    <col min="13558" max="13558" width="3.44140625" bestFit="1" customWidth="1"/>
    <col min="13559" max="13559" width="2.109375" bestFit="1" customWidth="1"/>
    <col min="13560" max="13560" width="4.109375" bestFit="1" customWidth="1"/>
    <col min="13561" max="13561" width="7.109375" bestFit="1" customWidth="1"/>
    <col min="13562" max="13562" width="6.21875" bestFit="1" customWidth="1"/>
    <col min="13563" max="13563" width="5.88671875" bestFit="1" customWidth="1"/>
    <col min="13564" max="13564" width="11" bestFit="1" customWidth="1"/>
    <col min="13565" max="13565" width="5.44140625" bestFit="1" customWidth="1"/>
    <col min="13566" max="13567" width="9" bestFit="1" customWidth="1"/>
    <col min="13568" max="13568" width="8" bestFit="1" customWidth="1"/>
    <col min="13569" max="13569" width="8.33203125" bestFit="1" customWidth="1"/>
    <col min="13570" max="13570" width="4.77734375" bestFit="1" customWidth="1"/>
    <col min="13572" max="13572" width="9.21875" bestFit="1" customWidth="1"/>
    <col min="13573" max="13573" width="10.109375" bestFit="1" customWidth="1"/>
    <col min="13812" max="13812" width="5.6640625" bestFit="1" customWidth="1"/>
    <col min="13813" max="13813" width="32.21875" customWidth="1"/>
    <col min="13814" max="13814" width="3.44140625" bestFit="1" customWidth="1"/>
    <col min="13815" max="13815" width="2.109375" bestFit="1" customWidth="1"/>
    <col min="13816" max="13816" width="4.109375" bestFit="1" customWidth="1"/>
    <col min="13817" max="13817" width="7.109375" bestFit="1" customWidth="1"/>
    <col min="13818" max="13818" width="6.21875" bestFit="1" customWidth="1"/>
    <col min="13819" max="13819" width="5.88671875" bestFit="1" customWidth="1"/>
    <col min="13820" max="13820" width="11" bestFit="1" customWidth="1"/>
    <col min="13821" max="13821" width="5.44140625" bestFit="1" customWidth="1"/>
    <col min="13822" max="13823" width="9" bestFit="1" customWidth="1"/>
    <col min="13824" max="13824" width="8" bestFit="1" customWidth="1"/>
    <col min="13825" max="13825" width="8.33203125" bestFit="1" customWidth="1"/>
    <col min="13826" max="13826" width="4.77734375" bestFit="1" customWidth="1"/>
    <col min="13828" max="13828" width="9.21875" bestFit="1" customWidth="1"/>
    <col min="13829" max="13829" width="10.109375" bestFit="1" customWidth="1"/>
    <col min="14068" max="14068" width="5.6640625" bestFit="1" customWidth="1"/>
    <col min="14069" max="14069" width="32.21875" customWidth="1"/>
    <col min="14070" max="14070" width="3.44140625" bestFit="1" customWidth="1"/>
    <col min="14071" max="14071" width="2.109375" bestFit="1" customWidth="1"/>
    <col min="14072" max="14072" width="4.109375" bestFit="1" customWidth="1"/>
    <col min="14073" max="14073" width="7.109375" bestFit="1" customWidth="1"/>
    <col min="14074" max="14074" width="6.21875" bestFit="1" customWidth="1"/>
    <col min="14075" max="14075" width="5.88671875" bestFit="1" customWidth="1"/>
    <col min="14076" max="14076" width="11" bestFit="1" customWidth="1"/>
    <col min="14077" max="14077" width="5.44140625" bestFit="1" customWidth="1"/>
    <col min="14078" max="14079" width="9" bestFit="1" customWidth="1"/>
    <col min="14080" max="14080" width="8" bestFit="1" customWidth="1"/>
    <col min="14081" max="14081" width="8.33203125" bestFit="1" customWidth="1"/>
    <col min="14082" max="14082" width="4.77734375" bestFit="1" customWidth="1"/>
    <col min="14084" max="14084" width="9.21875" bestFit="1" customWidth="1"/>
    <col min="14085" max="14085" width="10.109375" bestFit="1" customWidth="1"/>
    <col min="14324" max="14324" width="5.6640625" bestFit="1" customWidth="1"/>
    <col min="14325" max="14325" width="32.21875" customWidth="1"/>
    <col min="14326" max="14326" width="3.44140625" bestFit="1" customWidth="1"/>
    <col min="14327" max="14327" width="2.109375" bestFit="1" customWidth="1"/>
    <col min="14328" max="14328" width="4.109375" bestFit="1" customWidth="1"/>
    <col min="14329" max="14329" width="7.109375" bestFit="1" customWidth="1"/>
    <col min="14330" max="14330" width="6.21875" bestFit="1" customWidth="1"/>
    <col min="14331" max="14331" width="5.88671875" bestFit="1" customWidth="1"/>
    <col min="14332" max="14332" width="11" bestFit="1" customWidth="1"/>
    <col min="14333" max="14333" width="5.44140625" bestFit="1" customWidth="1"/>
    <col min="14334" max="14335" width="9" bestFit="1" customWidth="1"/>
    <col min="14336" max="14336" width="8" bestFit="1" customWidth="1"/>
    <col min="14337" max="14337" width="8.33203125" bestFit="1" customWidth="1"/>
    <col min="14338" max="14338" width="4.77734375" bestFit="1" customWidth="1"/>
    <col min="14340" max="14340" width="9.21875" bestFit="1" customWidth="1"/>
    <col min="14341" max="14341" width="10.109375" bestFit="1" customWidth="1"/>
    <col min="14580" max="14580" width="5.6640625" bestFit="1" customWidth="1"/>
    <col min="14581" max="14581" width="32.21875" customWidth="1"/>
    <col min="14582" max="14582" width="3.44140625" bestFit="1" customWidth="1"/>
    <col min="14583" max="14583" width="2.109375" bestFit="1" customWidth="1"/>
    <col min="14584" max="14584" width="4.109375" bestFit="1" customWidth="1"/>
    <col min="14585" max="14585" width="7.109375" bestFit="1" customWidth="1"/>
    <col min="14586" max="14586" width="6.21875" bestFit="1" customWidth="1"/>
    <col min="14587" max="14587" width="5.88671875" bestFit="1" customWidth="1"/>
    <col min="14588" max="14588" width="11" bestFit="1" customWidth="1"/>
    <col min="14589" max="14589" width="5.44140625" bestFit="1" customWidth="1"/>
    <col min="14590" max="14591" width="9" bestFit="1" customWidth="1"/>
    <col min="14592" max="14592" width="8" bestFit="1" customWidth="1"/>
    <col min="14593" max="14593" width="8.33203125" bestFit="1" customWidth="1"/>
    <col min="14594" max="14594" width="4.77734375" bestFit="1" customWidth="1"/>
    <col min="14596" max="14596" width="9.21875" bestFit="1" customWidth="1"/>
    <col min="14597" max="14597" width="10.109375" bestFit="1" customWidth="1"/>
    <col min="14836" max="14836" width="5.6640625" bestFit="1" customWidth="1"/>
    <col min="14837" max="14837" width="32.21875" customWidth="1"/>
    <col min="14838" max="14838" width="3.44140625" bestFit="1" customWidth="1"/>
    <col min="14839" max="14839" width="2.109375" bestFit="1" customWidth="1"/>
    <col min="14840" max="14840" width="4.109375" bestFit="1" customWidth="1"/>
    <col min="14841" max="14841" width="7.109375" bestFit="1" customWidth="1"/>
    <col min="14842" max="14842" width="6.21875" bestFit="1" customWidth="1"/>
    <col min="14843" max="14843" width="5.88671875" bestFit="1" customWidth="1"/>
    <col min="14844" max="14844" width="11" bestFit="1" customWidth="1"/>
    <col min="14845" max="14845" width="5.44140625" bestFit="1" customWidth="1"/>
    <col min="14846" max="14847" width="9" bestFit="1" customWidth="1"/>
    <col min="14848" max="14848" width="8" bestFit="1" customWidth="1"/>
    <col min="14849" max="14849" width="8.33203125" bestFit="1" customWidth="1"/>
    <col min="14850" max="14850" width="4.77734375" bestFit="1" customWidth="1"/>
    <col min="14852" max="14852" width="9.21875" bestFit="1" customWidth="1"/>
    <col min="14853" max="14853" width="10.109375" bestFit="1" customWidth="1"/>
    <col min="15092" max="15092" width="5.6640625" bestFit="1" customWidth="1"/>
    <col min="15093" max="15093" width="32.21875" customWidth="1"/>
    <col min="15094" max="15094" width="3.44140625" bestFit="1" customWidth="1"/>
    <col min="15095" max="15095" width="2.109375" bestFit="1" customWidth="1"/>
    <col min="15096" max="15096" width="4.109375" bestFit="1" customWidth="1"/>
    <col min="15097" max="15097" width="7.109375" bestFit="1" customWidth="1"/>
    <col min="15098" max="15098" width="6.21875" bestFit="1" customWidth="1"/>
    <col min="15099" max="15099" width="5.88671875" bestFit="1" customWidth="1"/>
    <col min="15100" max="15100" width="11" bestFit="1" customWidth="1"/>
    <col min="15101" max="15101" width="5.44140625" bestFit="1" customWidth="1"/>
    <col min="15102" max="15103" width="9" bestFit="1" customWidth="1"/>
    <col min="15104" max="15104" width="8" bestFit="1" customWidth="1"/>
    <col min="15105" max="15105" width="8.33203125" bestFit="1" customWidth="1"/>
    <col min="15106" max="15106" width="4.77734375" bestFit="1" customWidth="1"/>
    <col min="15108" max="15108" width="9.21875" bestFit="1" customWidth="1"/>
    <col min="15109" max="15109" width="10.109375" bestFit="1" customWidth="1"/>
    <col min="15348" max="15348" width="5.6640625" bestFit="1" customWidth="1"/>
    <col min="15349" max="15349" width="32.21875" customWidth="1"/>
    <col min="15350" max="15350" width="3.44140625" bestFit="1" customWidth="1"/>
    <col min="15351" max="15351" width="2.109375" bestFit="1" customWidth="1"/>
    <col min="15352" max="15352" width="4.109375" bestFit="1" customWidth="1"/>
    <col min="15353" max="15353" width="7.109375" bestFit="1" customWidth="1"/>
    <col min="15354" max="15354" width="6.21875" bestFit="1" customWidth="1"/>
    <col min="15355" max="15355" width="5.88671875" bestFit="1" customWidth="1"/>
    <col min="15356" max="15356" width="11" bestFit="1" customWidth="1"/>
    <col min="15357" max="15357" width="5.44140625" bestFit="1" customWidth="1"/>
    <col min="15358" max="15359" width="9" bestFit="1" customWidth="1"/>
    <col min="15360" max="15360" width="8" bestFit="1" customWidth="1"/>
    <col min="15361" max="15361" width="8.33203125" bestFit="1" customWidth="1"/>
    <col min="15362" max="15362" width="4.77734375" bestFit="1" customWidth="1"/>
    <col min="15364" max="15364" width="9.21875" bestFit="1" customWidth="1"/>
    <col min="15365" max="15365" width="10.109375" bestFit="1" customWidth="1"/>
    <col min="15604" max="15604" width="5.6640625" bestFit="1" customWidth="1"/>
    <col min="15605" max="15605" width="32.21875" customWidth="1"/>
    <col min="15606" max="15606" width="3.44140625" bestFit="1" customWidth="1"/>
    <col min="15607" max="15607" width="2.109375" bestFit="1" customWidth="1"/>
    <col min="15608" max="15608" width="4.109375" bestFit="1" customWidth="1"/>
    <col min="15609" max="15609" width="7.109375" bestFit="1" customWidth="1"/>
    <col min="15610" max="15610" width="6.21875" bestFit="1" customWidth="1"/>
    <col min="15611" max="15611" width="5.88671875" bestFit="1" customWidth="1"/>
    <col min="15612" max="15612" width="11" bestFit="1" customWidth="1"/>
    <col min="15613" max="15613" width="5.44140625" bestFit="1" customWidth="1"/>
    <col min="15614" max="15615" width="9" bestFit="1" customWidth="1"/>
    <col min="15616" max="15616" width="8" bestFit="1" customWidth="1"/>
    <col min="15617" max="15617" width="8.33203125" bestFit="1" customWidth="1"/>
    <col min="15618" max="15618" width="4.77734375" bestFit="1" customWidth="1"/>
    <col min="15620" max="15620" width="9.21875" bestFit="1" customWidth="1"/>
    <col min="15621" max="15621" width="10.109375" bestFit="1" customWidth="1"/>
    <col min="15860" max="15860" width="5.6640625" bestFit="1" customWidth="1"/>
    <col min="15861" max="15861" width="32.21875" customWidth="1"/>
    <col min="15862" max="15862" width="3.44140625" bestFit="1" customWidth="1"/>
    <col min="15863" max="15863" width="2.109375" bestFit="1" customWidth="1"/>
    <col min="15864" max="15864" width="4.109375" bestFit="1" customWidth="1"/>
    <col min="15865" max="15865" width="7.109375" bestFit="1" customWidth="1"/>
    <col min="15866" max="15866" width="6.21875" bestFit="1" customWidth="1"/>
    <col min="15867" max="15867" width="5.88671875" bestFit="1" customWidth="1"/>
    <col min="15868" max="15868" width="11" bestFit="1" customWidth="1"/>
    <col min="15869" max="15869" width="5.44140625" bestFit="1" customWidth="1"/>
    <col min="15870" max="15871" width="9" bestFit="1" customWidth="1"/>
    <col min="15872" max="15872" width="8" bestFit="1" customWidth="1"/>
    <col min="15873" max="15873" width="8.33203125" bestFit="1" customWidth="1"/>
    <col min="15874" max="15874" width="4.77734375" bestFit="1" customWidth="1"/>
    <col min="15876" max="15876" width="9.21875" bestFit="1" customWidth="1"/>
    <col min="15877" max="15877" width="10.109375" bestFit="1" customWidth="1"/>
    <col min="16116" max="16116" width="5.6640625" bestFit="1" customWidth="1"/>
    <col min="16117" max="16117" width="32.21875" customWidth="1"/>
    <col min="16118" max="16118" width="3.44140625" bestFit="1" customWidth="1"/>
    <col min="16119" max="16119" width="2.109375" bestFit="1" customWidth="1"/>
    <col min="16120" max="16120" width="4.109375" bestFit="1" customWidth="1"/>
    <col min="16121" max="16121" width="7.109375" bestFit="1" customWidth="1"/>
    <col min="16122" max="16122" width="6.21875" bestFit="1" customWidth="1"/>
    <col min="16123" max="16123" width="5.88671875" bestFit="1" customWidth="1"/>
    <col min="16124" max="16124" width="11" bestFit="1" customWidth="1"/>
    <col min="16125" max="16125" width="5.44140625" bestFit="1" customWidth="1"/>
    <col min="16126" max="16127" width="9" bestFit="1" customWidth="1"/>
    <col min="16128" max="16128" width="8" bestFit="1" customWidth="1"/>
    <col min="16129" max="16129" width="8.33203125" bestFit="1" customWidth="1"/>
    <col min="16130" max="16130" width="4.77734375" bestFit="1" customWidth="1"/>
    <col min="16132" max="16132" width="9.21875" bestFit="1" customWidth="1"/>
    <col min="16133" max="16133" width="10.109375" bestFit="1" customWidth="1"/>
  </cols>
  <sheetData>
    <row r="1" spans="1:30" ht="32.25" customHeight="1">
      <c r="A1" s="609" t="s">
        <v>861</v>
      </c>
      <c r="B1" s="609"/>
      <c r="C1" s="609"/>
      <c r="D1" s="609"/>
      <c r="E1" s="609"/>
      <c r="F1" s="609"/>
      <c r="G1" s="609"/>
      <c r="H1" s="609"/>
      <c r="I1" s="609"/>
      <c r="J1" s="609"/>
      <c r="K1" s="160"/>
      <c r="L1" s="160"/>
      <c r="M1" s="160"/>
    </row>
    <row r="2" spans="1:30" ht="27" customHeight="1">
      <c r="A2" s="609" t="s">
        <v>65</v>
      </c>
      <c r="B2" s="609"/>
      <c r="C2" s="609"/>
      <c r="D2" s="609"/>
      <c r="E2" s="609"/>
      <c r="F2" s="609"/>
      <c r="G2" s="609"/>
      <c r="H2" s="609"/>
      <c r="I2" s="609"/>
      <c r="J2" s="609"/>
      <c r="K2" s="160"/>
      <c r="L2" s="160"/>
      <c r="M2" s="160"/>
    </row>
    <row r="3" spans="1:30" ht="52.5" customHeight="1">
      <c r="A3" s="612" t="s">
        <v>863</v>
      </c>
      <c r="B3" s="612"/>
      <c r="C3" s="612"/>
      <c r="D3" s="612"/>
      <c r="E3" s="612"/>
      <c r="F3" s="612"/>
      <c r="G3" s="612"/>
      <c r="H3" s="612"/>
      <c r="I3" s="612"/>
      <c r="J3" s="613"/>
      <c r="K3" s="159"/>
      <c r="L3" s="159"/>
      <c r="M3" s="159"/>
      <c r="N3" s="3">
        <f>6*112</f>
        <v>672</v>
      </c>
    </row>
    <row r="4" spans="1:30" ht="27" customHeight="1">
      <c r="A4" s="614" t="s">
        <v>862</v>
      </c>
      <c r="B4" s="614"/>
      <c r="C4" s="614"/>
      <c r="D4" s="614"/>
      <c r="E4" s="614"/>
      <c r="F4" s="614"/>
      <c r="G4" s="614"/>
      <c r="H4" s="614"/>
      <c r="I4" s="614"/>
      <c r="J4" s="614"/>
      <c r="K4" s="158"/>
      <c r="L4" s="158"/>
      <c r="M4" s="158"/>
      <c r="N4" s="3">
        <f>13*8</f>
        <v>104</v>
      </c>
    </row>
    <row r="5" spans="1:30" s="2" customFormat="1" ht="24" customHeight="1">
      <c r="A5" s="615" t="s">
        <v>860</v>
      </c>
      <c r="B5" s="615" t="s">
        <v>99</v>
      </c>
      <c r="C5" s="616" t="s">
        <v>17</v>
      </c>
      <c r="D5" s="616"/>
      <c r="E5" s="616"/>
      <c r="F5" s="606" t="s">
        <v>81</v>
      </c>
      <c r="G5" s="606"/>
      <c r="H5" s="606"/>
      <c r="I5" s="610" t="s">
        <v>27</v>
      </c>
      <c r="J5" s="611" t="s">
        <v>3</v>
      </c>
      <c r="K5" s="157"/>
      <c r="L5" s="157"/>
      <c r="M5" s="157"/>
      <c r="N5" s="9">
        <f>N3+N4</f>
        <v>776</v>
      </c>
      <c r="O5" s="9"/>
      <c r="P5" s="9"/>
      <c r="Q5" s="9"/>
      <c r="R5" s="9"/>
      <c r="S5" s="9"/>
      <c r="T5" s="9"/>
      <c r="U5" s="9"/>
      <c r="V5" s="9"/>
      <c r="W5" s="9"/>
      <c r="X5" s="9"/>
      <c r="Y5" s="9"/>
      <c r="Z5" s="9"/>
      <c r="AA5" s="9"/>
      <c r="AB5" s="9"/>
      <c r="AC5" s="9"/>
      <c r="AD5" s="9"/>
    </row>
    <row r="6" spans="1:30" s="2" customFormat="1" ht="24" customHeight="1">
      <c r="A6" s="615"/>
      <c r="B6" s="615"/>
      <c r="C6" s="616"/>
      <c r="D6" s="616"/>
      <c r="E6" s="616"/>
      <c r="F6" s="415" t="s">
        <v>859</v>
      </c>
      <c r="G6" s="415" t="s">
        <v>25</v>
      </c>
      <c r="H6" s="415" t="s">
        <v>66</v>
      </c>
      <c r="I6" s="610"/>
      <c r="J6" s="611"/>
      <c r="K6" s="157"/>
      <c r="L6" s="157"/>
      <c r="M6" s="157"/>
      <c r="N6" s="9"/>
      <c r="O6" s="9"/>
      <c r="P6" s="9"/>
      <c r="Q6" s="9"/>
      <c r="R6" s="9"/>
      <c r="S6" s="9"/>
      <c r="T6" s="9"/>
      <c r="U6" s="9"/>
      <c r="V6" s="9"/>
      <c r="W6" s="9"/>
      <c r="X6" s="9"/>
      <c r="Y6" s="9"/>
      <c r="Z6" s="9"/>
      <c r="AA6" s="9"/>
      <c r="AB6" s="9"/>
      <c r="AC6" s="9"/>
      <c r="AD6" s="9"/>
    </row>
    <row r="7" spans="1:30" s="2" customFormat="1" ht="39.75" customHeight="1">
      <c r="A7" s="288">
        <v>1.1000000000000001</v>
      </c>
      <c r="B7" s="286" t="s">
        <v>858</v>
      </c>
      <c r="C7" s="280"/>
      <c r="D7" s="280"/>
      <c r="E7" s="280"/>
      <c r="F7" s="282"/>
      <c r="G7" s="282"/>
      <c r="H7" s="282"/>
      <c r="I7" s="283"/>
      <c r="J7" s="284"/>
      <c r="K7" s="43"/>
      <c r="L7" s="43"/>
      <c r="M7" s="43"/>
      <c r="N7" s="9"/>
      <c r="O7" s="9"/>
      <c r="P7" s="9"/>
      <c r="Q7" s="9"/>
      <c r="R7" s="9"/>
      <c r="S7" s="9"/>
      <c r="T7" s="9"/>
      <c r="U7" s="9"/>
      <c r="V7" s="9"/>
      <c r="W7" s="9"/>
      <c r="X7" s="9"/>
      <c r="Y7" s="9"/>
      <c r="Z7" s="9"/>
      <c r="AA7" s="9"/>
      <c r="AB7" s="9"/>
      <c r="AC7" s="9"/>
      <c r="AD7" s="9"/>
    </row>
    <row r="8" spans="1:30" s="2" customFormat="1" ht="19.5" customHeight="1">
      <c r="A8" s="288"/>
      <c r="B8" s="286" t="s">
        <v>857</v>
      </c>
      <c r="C8" s="280"/>
      <c r="D8" s="280"/>
      <c r="E8" s="280"/>
      <c r="F8" s="282"/>
      <c r="G8" s="282"/>
      <c r="H8" s="282"/>
      <c r="I8" s="283"/>
      <c r="J8" s="284"/>
      <c r="K8" s="43"/>
      <c r="L8" s="43"/>
      <c r="M8" s="43"/>
      <c r="N8" s="9"/>
      <c r="O8" s="9"/>
      <c r="P8" s="9"/>
      <c r="Q8" s="9"/>
      <c r="R8" s="9"/>
      <c r="S8" s="9"/>
      <c r="T8" s="9"/>
      <c r="U8" s="9"/>
      <c r="V8" s="9"/>
      <c r="W8" s="9"/>
      <c r="X8" s="9"/>
      <c r="Y8" s="9"/>
      <c r="Z8" s="9"/>
      <c r="AA8" s="9"/>
      <c r="AB8" s="9"/>
      <c r="AC8" s="9"/>
      <c r="AD8" s="9"/>
    </row>
    <row r="9" spans="1:30" s="2" customFormat="1" ht="19.5" customHeight="1">
      <c r="A9" s="288"/>
      <c r="B9" s="286" t="s">
        <v>947</v>
      </c>
      <c r="C9" s="280"/>
      <c r="D9" s="280"/>
      <c r="E9" s="280"/>
      <c r="F9" s="282"/>
      <c r="G9" s="282"/>
      <c r="H9" s="282"/>
      <c r="I9" s="283"/>
      <c r="J9" s="284"/>
      <c r="K9" s="43"/>
      <c r="L9" s="43"/>
      <c r="M9" s="43"/>
      <c r="N9" s="9"/>
      <c r="O9" s="9"/>
      <c r="P9" s="9"/>
      <c r="Q9" s="9"/>
      <c r="R9" s="9"/>
      <c r="S9" s="9"/>
      <c r="T9" s="9"/>
      <c r="U9" s="9"/>
      <c r="V9" s="9"/>
      <c r="W9" s="9"/>
      <c r="X9" s="9"/>
      <c r="Y9" s="9"/>
      <c r="Z9" s="9"/>
      <c r="AA9" s="9"/>
      <c r="AB9" s="9"/>
      <c r="AC9" s="9"/>
      <c r="AD9" s="9"/>
    </row>
    <row r="10" spans="1:30" s="73" customFormat="1" ht="19.5" customHeight="1">
      <c r="A10" s="278"/>
      <c r="B10" s="279" t="s">
        <v>948</v>
      </c>
      <c r="C10" s="280">
        <v>1</v>
      </c>
      <c r="D10" s="280">
        <v>1</v>
      </c>
      <c r="E10" s="280">
        <v>1</v>
      </c>
      <c r="F10" s="281">
        <v>27.5</v>
      </c>
      <c r="G10" s="282">
        <v>39.700000000000003</v>
      </c>
      <c r="H10" s="282">
        <v>2</v>
      </c>
      <c r="I10" s="283">
        <f>PRODUCT(C10:H10)</f>
        <v>2183.5</v>
      </c>
      <c r="J10" s="284"/>
      <c r="K10" s="273"/>
      <c r="L10" s="274"/>
      <c r="M10" s="274"/>
      <c r="N10" s="275"/>
      <c r="O10" s="74"/>
      <c r="P10" s="74"/>
      <c r="Q10" s="74"/>
      <c r="R10" s="74"/>
      <c r="S10" s="74"/>
      <c r="T10" s="74"/>
      <c r="U10" s="74"/>
      <c r="V10" s="74"/>
      <c r="W10" s="74"/>
      <c r="X10" s="74"/>
      <c r="Y10" s="74"/>
      <c r="Z10" s="74"/>
      <c r="AA10" s="74"/>
      <c r="AB10" s="74"/>
      <c r="AC10" s="74"/>
      <c r="AD10" s="74"/>
    </row>
    <row r="11" spans="1:30" s="73" customFormat="1" ht="19.5" customHeight="1">
      <c r="A11" s="278"/>
      <c r="B11" s="279" t="s">
        <v>949</v>
      </c>
      <c r="C11" s="280">
        <v>1</v>
      </c>
      <c r="D11" s="280">
        <v>1</v>
      </c>
      <c r="E11" s="280">
        <v>1</v>
      </c>
      <c r="F11" s="281">
        <v>17</v>
      </c>
      <c r="G11" s="282">
        <v>8.6</v>
      </c>
      <c r="H11" s="282">
        <v>2</v>
      </c>
      <c r="I11" s="283">
        <f>PRODUCT(C11:H11)</f>
        <v>292.39999999999998</v>
      </c>
      <c r="J11" s="284"/>
      <c r="K11" s="273">
        <f>1.725+0.3</f>
        <v>2.0249999999999999</v>
      </c>
      <c r="L11" s="274"/>
      <c r="M11" s="274"/>
      <c r="N11" s="275"/>
      <c r="O11" s="275"/>
      <c r="P11" s="275"/>
      <c r="Q11" s="74"/>
      <c r="R11" s="74"/>
      <c r="S11" s="74"/>
      <c r="T11" s="74"/>
      <c r="U11" s="74"/>
      <c r="V11" s="74"/>
      <c r="W11" s="74"/>
      <c r="X11" s="74"/>
      <c r="Y11" s="74"/>
      <c r="Z11" s="74"/>
      <c r="AA11" s="74"/>
      <c r="AB11" s="74"/>
      <c r="AC11" s="74"/>
      <c r="AD11" s="74"/>
    </row>
    <row r="12" spans="1:30" s="73" customFormat="1" ht="19.5" customHeight="1">
      <c r="A12" s="278"/>
      <c r="B12" s="279" t="s">
        <v>950</v>
      </c>
      <c r="C12" s="280">
        <v>1</v>
      </c>
      <c r="D12" s="285">
        <v>1</v>
      </c>
      <c r="E12" s="280">
        <v>1</v>
      </c>
      <c r="F12" s="281">
        <v>2.7</v>
      </c>
      <c r="G12" s="282">
        <v>2.7</v>
      </c>
      <c r="H12" s="282">
        <v>2</v>
      </c>
      <c r="I12" s="283">
        <f>PRODUCT(C12:H12)</f>
        <v>14.58</v>
      </c>
      <c r="J12" s="284"/>
      <c r="K12" s="276">
        <f>1.875-0.75+0.2</f>
        <v>1.325</v>
      </c>
      <c r="L12" s="276">
        <f>K12/2</f>
        <v>0.66249999999999998</v>
      </c>
      <c r="M12" s="274"/>
      <c r="N12" s="275"/>
      <c r="O12" s="74"/>
      <c r="P12" s="275"/>
      <c r="Q12" s="74"/>
      <c r="R12" s="74"/>
      <c r="S12" s="74"/>
      <c r="T12" s="74"/>
      <c r="U12" s="74"/>
      <c r="V12" s="74"/>
      <c r="W12" s="74"/>
      <c r="X12" s="74"/>
      <c r="Y12" s="74"/>
      <c r="Z12" s="74"/>
      <c r="AA12" s="74"/>
      <c r="AB12" s="74"/>
      <c r="AC12" s="74"/>
      <c r="AD12" s="74"/>
    </row>
    <row r="13" spans="1:30" s="73" customFormat="1" ht="23.25" customHeight="1">
      <c r="A13" s="278"/>
      <c r="B13" s="286"/>
      <c r="C13" s="280"/>
      <c r="D13" s="280"/>
      <c r="E13" s="280"/>
      <c r="F13" s="282"/>
      <c r="G13" s="415"/>
      <c r="H13" s="415"/>
      <c r="I13" s="416">
        <f>SUM(I10:I12)</f>
        <v>2490.48</v>
      </c>
      <c r="J13" s="284" t="s">
        <v>21</v>
      </c>
      <c r="K13" s="274"/>
      <c r="L13" s="274"/>
      <c r="M13" s="274"/>
      <c r="N13" s="74"/>
      <c r="O13" s="74"/>
      <c r="P13" s="74"/>
      <c r="Q13" s="74"/>
      <c r="R13" s="74"/>
      <c r="S13" s="74"/>
      <c r="T13" s="74"/>
      <c r="U13" s="74"/>
      <c r="V13" s="74"/>
      <c r="W13" s="74"/>
      <c r="X13" s="74"/>
      <c r="Y13" s="74"/>
      <c r="Z13" s="74"/>
      <c r="AA13" s="74"/>
      <c r="AB13" s="74"/>
      <c r="AC13" s="74"/>
      <c r="AD13" s="74"/>
    </row>
    <row r="14" spans="1:30" s="73" customFormat="1" ht="23.25" customHeight="1">
      <c r="A14" s="278"/>
      <c r="B14" s="286"/>
      <c r="C14" s="280"/>
      <c r="D14" s="280"/>
      <c r="E14" s="280"/>
      <c r="F14" s="282"/>
      <c r="G14" s="415"/>
      <c r="H14" s="415" t="s">
        <v>55</v>
      </c>
      <c r="I14" s="416">
        <f>ROUNDUP(I13,0)</f>
        <v>2491</v>
      </c>
      <c r="J14" s="287" t="s">
        <v>21</v>
      </c>
      <c r="K14" s="277"/>
      <c r="L14" s="277"/>
      <c r="M14" s="277"/>
      <c r="N14" s="74"/>
      <c r="O14" s="74"/>
      <c r="P14" s="74"/>
      <c r="Q14" s="74"/>
      <c r="R14" s="74"/>
      <c r="S14" s="74"/>
      <c r="T14" s="74"/>
      <c r="U14" s="74"/>
      <c r="V14" s="74"/>
      <c r="W14" s="74"/>
      <c r="X14" s="74"/>
      <c r="Y14" s="74"/>
      <c r="Z14" s="74"/>
      <c r="AA14" s="74"/>
      <c r="AB14" s="74"/>
      <c r="AC14" s="74"/>
      <c r="AD14" s="74"/>
    </row>
    <row r="15" spans="1:30" s="73" customFormat="1" ht="19.5" customHeight="1">
      <c r="A15" s="288"/>
      <c r="B15" s="286" t="s">
        <v>857</v>
      </c>
      <c r="C15" s="280"/>
      <c r="D15" s="280"/>
      <c r="E15" s="280"/>
      <c r="F15" s="282"/>
      <c r="G15" s="282"/>
      <c r="H15" s="282"/>
      <c r="I15" s="283"/>
      <c r="J15" s="284"/>
      <c r="K15" s="274"/>
      <c r="L15" s="274"/>
      <c r="M15" s="274"/>
      <c r="N15" s="74"/>
      <c r="O15" s="74"/>
      <c r="P15" s="74"/>
      <c r="Q15" s="74"/>
      <c r="R15" s="74"/>
      <c r="S15" s="74"/>
      <c r="T15" s="74"/>
      <c r="U15" s="74"/>
      <c r="V15" s="74"/>
      <c r="W15" s="74"/>
      <c r="X15" s="74"/>
      <c r="Y15" s="74"/>
      <c r="Z15" s="74"/>
      <c r="AA15" s="74"/>
      <c r="AB15" s="74"/>
      <c r="AC15" s="74"/>
      <c r="AD15" s="74"/>
    </row>
    <row r="16" spans="1:30" s="73" customFormat="1" ht="19.5" customHeight="1">
      <c r="A16" s="288"/>
      <c r="B16" s="286" t="s">
        <v>947</v>
      </c>
      <c r="C16" s="280"/>
      <c r="D16" s="280"/>
      <c r="E16" s="280"/>
      <c r="F16" s="282"/>
      <c r="G16" s="282"/>
      <c r="H16" s="282"/>
      <c r="I16" s="283"/>
      <c r="J16" s="284"/>
      <c r="K16" s="274"/>
      <c r="L16" s="274"/>
      <c r="M16" s="274"/>
      <c r="N16" s="74"/>
      <c r="O16" s="74"/>
      <c r="P16" s="74"/>
      <c r="Q16" s="74"/>
      <c r="R16" s="74"/>
      <c r="S16" s="74"/>
      <c r="T16" s="74"/>
      <c r="U16" s="74"/>
      <c r="V16" s="74"/>
      <c r="W16" s="74"/>
      <c r="X16" s="74"/>
      <c r="Y16" s="74"/>
      <c r="Z16" s="74"/>
      <c r="AA16" s="74"/>
      <c r="AB16" s="74"/>
      <c r="AC16" s="74"/>
      <c r="AD16" s="74"/>
    </row>
    <row r="17" spans="1:30" s="73" customFormat="1" ht="19.5" customHeight="1">
      <c r="A17" s="278"/>
      <c r="B17" s="279" t="s">
        <v>948</v>
      </c>
      <c r="C17" s="280">
        <v>1</v>
      </c>
      <c r="D17" s="280">
        <v>1</v>
      </c>
      <c r="E17" s="280">
        <v>1</v>
      </c>
      <c r="F17" s="281">
        <v>27.5</v>
      </c>
      <c r="G17" s="282">
        <v>39.700000000000003</v>
      </c>
      <c r="H17" s="282">
        <v>1</v>
      </c>
      <c r="I17" s="283">
        <f>PRODUCT(C17:H17)</f>
        <v>1091.75</v>
      </c>
      <c r="J17" s="284"/>
      <c r="K17" s="273"/>
      <c r="L17" s="274"/>
      <c r="M17" s="274"/>
      <c r="N17" s="275"/>
      <c r="O17" s="74"/>
      <c r="P17" s="74"/>
      <c r="Q17" s="74"/>
      <c r="R17" s="74"/>
      <c r="S17" s="74"/>
      <c r="T17" s="74"/>
      <c r="U17" s="74"/>
      <c r="V17" s="74"/>
      <c r="W17" s="74"/>
      <c r="X17" s="74"/>
      <c r="Y17" s="74"/>
      <c r="Z17" s="74"/>
      <c r="AA17" s="74"/>
      <c r="AB17" s="74"/>
      <c r="AC17" s="74"/>
      <c r="AD17" s="74"/>
    </row>
    <row r="18" spans="1:30" s="73" customFormat="1" ht="19.5" customHeight="1">
      <c r="A18" s="278"/>
      <c r="B18" s="279" t="s">
        <v>949</v>
      </c>
      <c r="C18" s="280">
        <v>1</v>
      </c>
      <c r="D18" s="280">
        <v>1</v>
      </c>
      <c r="E18" s="280">
        <v>1</v>
      </c>
      <c r="F18" s="281">
        <v>17</v>
      </c>
      <c r="G18" s="282">
        <v>8.6</v>
      </c>
      <c r="H18" s="282">
        <v>1</v>
      </c>
      <c r="I18" s="283">
        <f>PRODUCT(C18:H18)</f>
        <v>146.19999999999999</v>
      </c>
      <c r="J18" s="284"/>
      <c r="K18" s="273">
        <f>1.725+0.3</f>
        <v>2.0249999999999999</v>
      </c>
      <c r="L18" s="274"/>
      <c r="M18" s="274"/>
      <c r="N18" s="275"/>
      <c r="O18" s="275"/>
      <c r="P18" s="275"/>
      <c r="Q18" s="74"/>
      <c r="R18" s="74"/>
      <c r="S18" s="74"/>
      <c r="T18" s="74"/>
      <c r="U18" s="74"/>
      <c r="V18" s="74"/>
      <c r="W18" s="74"/>
      <c r="X18" s="74"/>
      <c r="Y18" s="74"/>
      <c r="Z18" s="74"/>
      <c r="AA18" s="74"/>
      <c r="AB18" s="74"/>
      <c r="AC18" s="74"/>
      <c r="AD18" s="74"/>
    </row>
    <row r="19" spans="1:30" s="73" customFormat="1" ht="19.5" customHeight="1">
      <c r="A19" s="278"/>
      <c r="B19" s="279" t="s">
        <v>950</v>
      </c>
      <c r="C19" s="280">
        <v>1</v>
      </c>
      <c r="D19" s="285">
        <v>1</v>
      </c>
      <c r="E19" s="280">
        <v>1</v>
      </c>
      <c r="F19" s="281">
        <v>2.7</v>
      </c>
      <c r="G19" s="282">
        <v>2.7</v>
      </c>
      <c r="H19" s="282">
        <v>1</v>
      </c>
      <c r="I19" s="283">
        <f>PRODUCT(C19:H19)</f>
        <v>7.29</v>
      </c>
      <c r="J19" s="284"/>
      <c r="K19" s="276">
        <f>1.875-0.75+0.2</f>
        <v>1.325</v>
      </c>
      <c r="L19" s="276">
        <f>K19/2</f>
        <v>0.66249999999999998</v>
      </c>
      <c r="M19" s="274"/>
      <c r="N19" s="275"/>
      <c r="O19" s="74"/>
      <c r="P19" s="275"/>
      <c r="Q19" s="74"/>
      <c r="R19" s="74"/>
      <c r="S19" s="74"/>
      <c r="T19" s="74"/>
      <c r="U19" s="74"/>
      <c r="V19" s="74"/>
      <c r="W19" s="74"/>
      <c r="X19" s="74"/>
      <c r="Y19" s="74"/>
      <c r="Z19" s="74"/>
      <c r="AA19" s="74"/>
      <c r="AB19" s="74"/>
      <c r="AC19" s="74"/>
      <c r="AD19" s="74"/>
    </row>
    <row r="20" spans="1:30" s="73" customFormat="1" ht="19.5" customHeight="1">
      <c r="A20" s="278"/>
      <c r="B20" s="279"/>
      <c r="C20" s="280"/>
      <c r="D20" s="285"/>
      <c r="E20" s="280"/>
      <c r="F20" s="281"/>
      <c r="G20" s="282"/>
      <c r="H20" s="282"/>
      <c r="I20" s="283">
        <f>SUM(I17:I19)</f>
        <v>1245.24</v>
      </c>
      <c r="J20" s="284"/>
      <c r="K20" s="276"/>
      <c r="L20" s="276"/>
      <c r="M20" s="274"/>
      <c r="N20" s="275"/>
      <c r="O20" s="74"/>
      <c r="P20" s="275"/>
      <c r="Q20" s="74"/>
      <c r="R20" s="74"/>
      <c r="S20" s="74"/>
      <c r="T20" s="74"/>
      <c r="U20" s="74"/>
      <c r="V20" s="74"/>
      <c r="W20" s="74"/>
      <c r="X20" s="74"/>
      <c r="Y20" s="74"/>
      <c r="Z20" s="74"/>
      <c r="AA20" s="74"/>
      <c r="AB20" s="74"/>
      <c r="AC20" s="74"/>
      <c r="AD20" s="74"/>
    </row>
    <row r="21" spans="1:30" s="73" customFormat="1" ht="19.5" customHeight="1">
      <c r="A21" s="278"/>
      <c r="B21" s="279"/>
      <c r="C21" s="280"/>
      <c r="D21" s="285"/>
      <c r="E21" s="280"/>
      <c r="F21" s="281"/>
      <c r="G21" s="282"/>
      <c r="H21" s="415" t="s">
        <v>55</v>
      </c>
      <c r="I21" s="416">
        <f>ROUNDUP(I20,1)</f>
        <v>1245.3</v>
      </c>
      <c r="J21" s="287" t="s">
        <v>21</v>
      </c>
      <c r="K21" s="276"/>
      <c r="L21" s="276"/>
      <c r="M21" s="274"/>
      <c r="N21" s="275"/>
      <c r="O21" s="74"/>
      <c r="P21" s="275"/>
      <c r="Q21" s="74"/>
      <c r="R21" s="74"/>
      <c r="S21" s="74"/>
      <c r="T21" s="74"/>
      <c r="U21" s="74"/>
      <c r="V21" s="74"/>
      <c r="W21" s="74"/>
      <c r="X21" s="74"/>
      <c r="Y21" s="74"/>
      <c r="Z21" s="74"/>
      <c r="AA21" s="74"/>
      <c r="AB21" s="74"/>
      <c r="AC21" s="74"/>
      <c r="AD21" s="74"/>
    </row>
    <row r="22" spans="1:30" s="73" customFormat="1" ht="39.75" customHeight="1">
      <c r="A22" s="288">
        <v>3.1</v>
      </c>
      <c r="B22" s="286" t="s">
        <v>856</v>
      </c>
      <c r="C22" s="280"/>
      <c r="D22" s="280"/>
      <c r="E22" s="280"/>
      <c r="F22" s="282"/>
      <c r="G22" s="415"/>
      <c r="H22" s="282"/>
      <c r="I22" s="416"/>
      <c r="J22" s="284"/>
      <c r="K22" s="274"/>
      <c r="L22" s="274"/>
      <c r="M22" s="274"/>
      <c r="N22" s="74"/>
      <c r="O22" s="74"/>
      <c r="P22" s="74"/>
      <c r="Q22" s="74"/>
      <c r="R22" s="74"/>
      <c r="S22" s="74"/>
      <c r="T22" s="74"/>
      <c r="U22" s="74"/>
      <c r="V22" s="74"/>
      <c r="W22" s="74"/>
      <c r="X22" s="74"/>
      <c r="Y22" s="74"/>
      <c r="Z22" s="74"/>
      <c r="AA22" s="74"/>
      <c r="AB22" s="74"/>
      <c r="AC22" s="74"/>
      <c r="AD22" s="74"/>
    </row>
    <row r="23" spans="1:30" s="73" customFormat="1" ht="19.5" customHeight="1">
      <c r="A23" s="278"/>
      <c r="B23" s="286" t="s">
        <v>1302</v>
      </c>
      <c r="C23" s="280"/>
      <c r="D23" s="280"/>
      <c r="E23" s="280"/>
      <c r="F23" s="282"/>
      <c r="G23" s="282"/>
      <c r="H23" s="282"/>
      <c r="I23" s="283"/>
      <c r="J23" s="284"/>
      <c r="K23" s="274"/>
      <c r="L23" s="274"/>
      <c r="M23" s="274"/>
      <c r="N23" s="74">
        <f>2.05+0.3</f>
        <v>2.35</v>
      </c>
      <c r="O23" s="74">
        <f>0.8+0.3</f>
        <v>1.1000000000000001</v>
      </c>
      <c r="P23" s="74">
        <f>1.2+0.1+0.1</f>
        <v>1.4</v>
      </c>
      <c r="Q23" s="74"/>
      <c r="R23" s="74"/>
      <c r="S23" s="74"/>
      <c r="T23" s="74"/>
      <c r="U23" s="74"/>
      <c r="V23" s="74"/>
      <c r="W23" s="74"/>
      <c r="X23" s="74"/>
      <c r="Y23" s="74"/>
      <c r="Z23" s="74"/>
      <c r="AA23" s="74"/>
      <c r="AB23" s="74"/>
      <c r="AC23" s="74"/>
      <c r="AD23" s="74"/>
    </row>
    <row r="24" spans="1:30" s="73" customFormat="1" ht="19.5" customHeight="1">
      <c r="A24" s="278"/>
      <c r="B24" s="279" t="s">
        <v>948</v>
      </c>
      <c r="C24" s="280">
        <v>1</v>
      </c>
      <c r="D24" s="280">
        <v>1</v>
      </c>
      <c r="E24" s="280">
        <v>1</v>
      </c>
      <c r="F24" s="281">
        <v>27.5</v>
      </c>
      <c r="G24" s="282">
        <v>39.700000000000003</v>
      </c>
      <c r="H24" s="282">
        <v>0.1</v>
      </c>
      <c r="I24" s="283">
        <f>PRODUCT(C24:H24)</f>
        <v>109.18</v>
      </c>
      <c r="J24" s="284"/>
      <c r="K24" s="273"/>
      <c r="L24" s="274"/>
      <c r="M24" s="274"/>
      <c r="N24" s="275"/>
      <c r="O24" s="74"/>
      <c r="P24" s="74"/>
      <c r="Q24" s="74"/>
      <c r="R24" s="74"/>
      <c r="S24" s="74"/>
      <c r="T24" s="74"/>
      <c r="U24" s="74"/>
      <c r="V24" s="74"/>
      <c r="W24" s="74"/>
      <c r="X24" s="74"/>
      <c r="Y24" s="74"/>
      <c r="Z24" s="74"/>
      <c r="AA24" s="74"/>
      <c r="AB24" s="74"/>
      <c r="AC24" s="74"/>
      <c r="AD24" s="74"/>
    </row>
    <row r="25" spans="1:30" s="73" customFormat="1" ht="19.5" customHeight="1">
      <c r="A25" s="278"/>
      <c r="B25" s="279" t="s">
        <v>949</v>
      </c>
      <c r="C25" s="280">
        <v>1</v>
      </c>
      <c r="D25" s="280">
        <v>1</v>
      </c>
      <c r="E25" s="280">
        <v>1</v>
      </c>
      <c r="F25" s="281">
        <v>17</v>
      </c>
      <c r="G25" s="282">
        <v>8.6</v>
      </c>
      <c r="H25" s="282">
        <v>0.1</v>
      </c>
      <c r="I25" s="283">
        <f>PRODUCT(C25:H25)</f>
        <v>14.62</v>
      </c>
      <c r="J25" s="284"/>
      <c r="K25" s="273">
        <f>1.725+0.3</f>
        <v>2.0249999999999999</v>
      </c>
      <c r="L25" s="274"/>
      <c r="M25" s="274"/>
      <c r="N25" s="275"/>
      <c r="O25" s="275"/>
      <c r="P25" s="275"/>
      <c r="Q25" s="74"/>
      <c r="R25" s="74"/>
      <c r="S25" s="74"/>
      <c r="T25" s="74"/>
      <c r="U25" s="74"/>
      <c r="V25" s="74"/>
      <c r="W25" s="74"/>
      <c r="X25" s="74"/>
      <c r="Y25" s="74"/>
      <c r="Z25" s="74"/>
      <c r="AA25" s="74"/>
      <c r="AB25" s="74"/>
      <c r="AC25" s="74"/>
      <c r="AD25" s="74"/>
    </row>
    <row r="26" spans="1:30" s="73" customFormat="1" ht="19.5" customHeight="1">
      <c r="A26" s="278"/>
      <c r="B26" s="279" t="s">
        <v>950</v>
      </c>
      <c r="C26" s="280">
        <v>1</v>
      </c>
      <c r="D26" s="285">
        <v>1</v>
      </c>
      <c r="E26" s="280">
        <v>1</v>
      </c>
      <c r="F26" s="281">
        <v>2.7</v>
      </c>
      <c r="G26" s="282">
        <v>2.7</v>
      </c>
      <c r="H26" s="282">
        <v>0.1</v>
      </c>
      <c r="I26" s="283">
        <f>PRODUCT(C26:H26)</f>
        <v>0.73</v>
      </c>
      <c r="J26" s="284"/>
      <c r="K26" s="276">
        <f>1.875-0.75+0.2</f>
        <v>1.325</v>
      </c>
      <c r="L26" s="276">
        <f>K26/2</f>
        <v>0.66249999999999998</v>
      </c>
      <c r="M26" s="274"/>
      <c r="N26" s="275"/>
      <c r="O26" s="74"/>
      <c r="P26" s="275"/>
      <c r="Q26" s="74"/>
      <c r="R26" s="74"/>
      <c r="S26" s="74"/>
      <c r="T26" s="74"/>
      <c r="U26" s="74"/>
      <c r="V26" s="74"/>
      <c r="W26" s="74"/>
      <c r="X26" s="74"/>
      <c r="Y26" s="74"/>
      <c r="Z26" s="74"/>
      <c r="AA26" s="74"/>
      <c r="AB26" s="74"/>
      <c r="AC26" s="74"/>
      <c r="AD26" s="74"/>
    </row>
    <row r="27" spans="1:30" s="2" customFormat="1" ht="19.5" customHeight="1">
      <c r="A27" s="278"/>
      <c r="B27" s="286" t="s">
        <v>93</v>
      </c>
      <c r="C27" s="280"/>
      <c r="D27" s="280"/>
      <c r="E27" s="280"/>
      <c r="F27" s="281"/>
      <c r="G27" s="282"/>
      <c r="H27" s="282"/>
      <c r="I27" s="283"/>
      <c r="J27" s="284"/>
      <c r="K27" s="43"/>
      <c r="L27" s="43"/>
      <c r="M27" s="43"/>
      <c r="N27" s="9"/>
      <c r="O27" s="9"/>
      <c r="P27" s="9"/>
      <c r="Q27" s="9"/>
      <c r="R27" s="9"/>
      <c r="S27" s="9"/>
      <c r="T27" s="9"/>
      <c r="U27" s="9"/>
      <c r="V27" s="9"/>
      <c r="W27" s="9"/>
      <c r="X27" s="9"/>
      <c r="Y27" s="9"/>
      <c r="Z27" s="9"/>
      <c r="AA27" s="9"/>
      <c r="AB27" s="9"/>
      <c r="AC27" s="9"/>
      <c r="AD27" s="9"/>
    </row>
    <row r="28" spans="1:30" s="6" customFormat="1">
      <c r="A28" s="427"/>
      <c r="B28" s="427" t="s">
        <v>935</v>
      </c>
      <c r="C28" s="428">
        <v>5</v>
      </c>
      <c r="D28" s="428">
        <v>1</v>
      </c>
      <c r="E28" s="428">
        <v>1</v>
      </c>
      <c r="F28" s="429">
        <v>47.03</v>
      </c>
      <c r="G28" s="430">
        <v>0.38</v>
      </c>
      <c r="H28" s="430">
        <v>0.1</v>
      </c>
      <c r="I28" s="430">
        <f t="shared" ref="I28:I33" si="0">PRODUCT(C28:H28)</f>
        <v>8.94</v>
      </c>
      <c r="J28" s="431"/>
    </row>
    <row r="29" spans="1:30" s="6" customFormat="1">
      <c r="A29" s="427"/>
      <c r="B29" s="427" t="s">
        <v>93</v>
      </c>
      <c r="C29" s="428">
        <v>5</v>
      </c>
      <c r="D29" s="428">
        <v>1</v>
      </c>
      <c r="E29" s="428">
        <v>3</v>
      </c>
      <c r="F29" s="429">
        <v>8.8949999999999996</v>
      </c>
      <c r="G29" s="430">
        <v>0.38</v>
      </c>
      <c r="H29" s="430">
        <v>0.1</v>
      </c>
      <c r="I29" s="430">
        <f t="shared" si="0"/>
        <v>5.07</v>
      </c>
      <c r="J29" s="431"/>
    </row>
    <row r="30" spans="1:30" s="6" customFormat="1">
      <c r="A30" s="427"/>
      <c r="B30" s="427" t="s">
        <v>93</v>
      </c>
      <c r="C30" s="428">
        <v>5</v>
      </c>
      <c r="D30" s="428">
        <v>1</v>
      </c>
      <c r="E30" s="428">
        <v>2</v>
      </c>
      <c r="F30" s="429">
        <v>4</v>
      </c>
      <c r="G30" s="430">
        <v>0.38</v>
      </c>
      <c r="H30" s="430">
        <v>0.1</v>
      </c>
      <c r="I30" s="430">
        <f t="shared" si="0"/>
        <v>1.52</v>
      </c>
      <c r="J30" s="431"/>
    </row>
    <row r="31" spans="1:30" s="6" customFormat="1">
      <c r="A31" s="427"/>
      <c r="B31" s="427" t="s">
        <v>93</v>
      </c>
      <c r="C31" s="428">
        <v>5</v>
      </c>
      <c r="D31" s="428">
        <v>1</v>
      </c>
      <c r="E31" s="428">
        <v>2</v>
      </c>
      <c r="F31" s="429">
        <v>1.2</v>
      </c>
      <c r="G31" s="430">
        <v>0.38</v>
      </c>
      <c r="H31" s="430">
        <v>0.1</v>
      </c>
      <c r="I31" s="430">
        <f t="shared" si="0"/>
        <v>0.46</v>
      </c>
      <c r="J31" s="431"/>
    </row>
    <row r="32" spans="1:30" s="6" customFormat="1">
      <c r="A32" s="427"/>
      <c r="B32" s="427" t="s">
        <v>853</v>
      </c>
      <c r="C32" s="428">
        <v>5</v>
      </c>
      <c r="D32" s="428">
        <v>1</v>
      </c>
      <c r="E32" s="428">
        <v>4</v>
      </c>
      <c r="F32" s="429">
        <v>3.3849999999999998</v>
      </c>
      <c r="G32" s="430">
        <v>0.38</v>
      </c>
      <c r="H32" s="430">
        <v>0.1</v>
      </c>
      <c r="I32" s="430">
        <f t="shared" si="0"/>
        <v>2.57</v>
      </c>
      <c r="J32" s="431"/>
    </row>
    <row r="33" spans="1:10" s="6" customFormat="1">
      <c r="A33" s="427"/>
      <c r="B33" s="427" t="s">
        <v>853</v>
      </c>
      <c r="C33" s="428">
        <v>5</v>
      </c>
      <c r="D33" s="428">
        <v>1</v>
      </c>
      <c r="E33" s="428">
        <v>2</v>
      </c>
      <c r="F33" s="429">
        <v>3.35</v>
      </c>
      <c r="G33" s="430">
        <v>0.38</v>
      </c>
      <c r="H33" s="430">
        <v>0.1</v>
      </c>
      <c r="I33" s="430">
        <f t="shared" si="0"/>
        <v>1.27</v>
      </c>
      <c r="J33" s="431"/>
    </row>
    <row r="34" spans="1:10" s="6" customFormat="1">
      <c r="A34" s="427"/>
      <c r="B34" s="432" t="s">
        <v>144</v>
      </c>
      <c r="C34" s="428"/>
      <c r="D34" s="428"/>
      <c r="E34" s="428"/>
      <c r="F34" s="429"/>
      <c r="G34" s="430"/>
      <c r="H34" s="430"/>
      <c r="I34" s="433"/>
      <c r="J34" s="431"/>
    </row>
    <row r="35" spans="1:10" s="6" customFormat="1">
      <c r="A35" s="427"/>
      <c r="B35" s="427" t="s">
        <v>463</v>
      </c>
      <c r="C35" s="428">
        <v>1</v>
      </c>
      <c r="D35" s="428">
        <v>1</v>
      </c>
      <c r="E35" s="428">
        <v>8</v>
      </c>
      <c r="F35" s="429">
        <v>6.06</v>
      </c>
      <c r="G35" s="430">
        <v>0.38</v>
      </c>
      <c r="H35" s="430">
        <v>0.1</v>
      </c>
      <c r="I35" s="430">
        <f t="shared" ref="I35:I51" si="1">PRODUCT(C35:H35)</f>
        <v>1.84</v>
      </c>
      <c r="J35" s="431"/>
    </row>
    <row r="36" spans="1:10" s="6" customFormat="1">
      <c r="A36" s="427"/>
      <c r="B36" s="427" t="s">
        <v>93</v>
      </c>
      <c r="C36" s="428">
        <v>1</v>
      </c>
      <c r="D36" s="428">
        <v>1</v>
      </c>
      <c r="E36" s="428">
        <v>12</v>
      </c>
      <c r="F36" s="429">
        <v>1.9</v>
      </c>
      <c r="G36" s="430">
        <v>0.38</v>
      </c>
      <c r="H36" s="430">
        <v>0.1</v>
      </c>
      <c r="I36" s="430">
        <f t="shared" si="1"/>
        <v>0.87</v>
      </c>
      <c r="J36" s="431"/>
    </row>
    <row r="37" spans="1:10" s="6" customFormat="1">
      <c r="A37" s="427"/>
      <c r="B37" s="427" t="s">
        <v>93</v>
      </c>
      <c r="C37" s="428">
        <v>1</v>
      </c>
      <c r="D37" s="428">
        <v>1</v>
      </c>
      <c r="E37" s="428">
        <v>1</v>
      </c>
      <c r="F37" s="429">
        <v>3.53</v>
      </c>
      <c r="G37" s="430">
        <v>0.38</v>
      </c>
      <c r="H37" s="430">
        <v>0.1</v>
      </c>
      <c r="I37" s="430">
        <f t="shared" si="1"/>
        <v>0.13</v>
      </c>
      <c r="J37" s="431"/>
    </row>
    <row r="38" spans="1:10" s="6" customFormat="1">
      <c r="A38" s="427"/>
      <c r="B38" s="427" t="s">
        <v>853</v>
      </c>
      <c r="C38" s="428">
        <v>1</v>
      </c>
      <c r="D38" s="428">
        <v>1</v>
      </c>
      <c r="E38" s="428">
        <v>2</v>
      </c>
      <c r="F38" s="429">
        <v>3.08</v>
      </c>
      <c r="G38" s="430">
        <v>0.38</v>
      </c>
      <c r="H38" s="430">
        <v>0.1</v>
      </c>
      <c r="I38" s="430">
        <f t="shared" si="1"/>
        <v>0.23</v>
      </c>
      <c r="J38" s="431"/>
    </row>
    <row r="39" spans="1:10" s="6" customFormat="1">
      <c r="A39" s="427"/>
      <c r="B39" s="427" t="s">
        <v>853</v>
      </c>
      <c r="C39" s="428">
        <v>1</v>
      </c>
      <c r="D39" s="428">
        <v>1</v>
      </c>
      <c r="E39" s="428">
        <v>1</v>
      </c>
      <c r="F39" s="429">
        <v>4.0949999999999998</v>
      </c>
      <c r="G39" s="430">
        <v>0.38</v>
      </c>
      <c r="H39" s="430">
        <v>0.1</v>
      </c>
      <c r="I39" s="430">
        <f t="shared" si="1"/>
        <v>0.16</v>
      </c>
      <c r="J39" s="431"/>
    </row>
    <row r="40" spans="1:10" s="6" customFormat="1">
      <c r="A40" s="427"/>
      <c r="B40" s="427" t="s">
        <v>853</v>
      </c>
      <c r="C40" s="428">
        <v>1</v>
      </c>
      <c r="D40" s="428">
        <v>1</v>
      </c>
      <c r="E40" s="428">
        <v>1</v>
      </c>
      <c r="F40" s="429">
        <v>1.0349999999999999</v>
      </c>
      <c r="G40" s="430">
        <v>0.38</v>
      </c>
      <c r="H40" s="430">
        <v>0.1</v>
      </c>
      <c r="I40" s="430">
        <f t="shared" si="1"/>
        <v>0.04</v>
      </c>
      <c r="J40" s="431"/>
    </row>
    <row r="41" spans="1:10" s="6" customFormat="1">
      <c r="A41" s="427"/>
      <c r="B41" s="427" t="s">
        <v>853</v>
      </c>
      <c r="C41" s="428">
        <v>1</v>
      </c>
      <c r="D41" s="428">
        <v>1</v>
      </c>
      <c r="E41" s="428">
        <v>2</v>
      </c>
      <c r="F41" s="429">
        <v>4.83</v>
      </c>
      <c r="G41" s="430">
        <v>0.38</v>
      </c>
      <c r="H41" s="430">
        <v>0.1</v>
      </c>
      <c r="I41" s="430">
        <f t="shared" si="1"/>
        <v>0.37</v>
      </c>
      <c r="J41" s="431"/>
    </row>
    <row r="42" spans="1:10" s="6" customFormat="1">
      <c r="A42" s="427"/>
      <c r="B42" s="427" t="s">
        <v>853</v>
      </c>
      <c r="C42" s="428">
        <v>1</v>
      </c>
      <c r="D42" s="428">
        <v>1</v>
      </c>
      <c r="E42" s="428">
        <v>2</v>
      </c>
      <c r="F42" s="429">
        <v>7.66</v>
      </c>
      <c r="G42" s="430">
        <v>0.38</v>
      </c>
      <c r="H42" s="430">
        <v>0.1</v>
      </c>
      <c r="I42" s="430">
        <f t="shared" si="1"/>
        <v>0.57999999999999996</v>
      </c>
      <c r="J42" s="431"/>
    </row>
    <row r="43" spans="1:10" s="6" customFormat="1">
      <c r="A43" s="427"/>
      <c r="B43" s="427" t="s">
        <v>853</v>
      </c>
      <c r="C43" s="428">
        <v>1</v>
      </c>
      <c r="D43" s="428">
        <v>1</v>
      </c>
      <c r="E43" s="428">
        <v>2</v>
      </c>
      <c r="F43" s="429">
        <v>2.7949999999999999</v>
      </c>
      <c r="G43" s="430">
        <v>0.38</v>
      </c>
      <c r="H43" s="430">
        <v>0.1</v>
      </c>
      <c r="I43" s="430">
        <f t="shared" si="1"/>
        <v>0.21</v>
      </c>
      <c r="J43" s="431"/>
    </row>
    <row r="44" spans="1:10" s="6" customFormat="1">
      <c r="A44" s="427"/>
      <c r="B44" s="427" t="s">
        <v>853</v>
      </c>
      <c r="C44" s="428">
        <v>1</v>
      </c>
      <c r="D44" s="428">
        <v>1</v>
      </c>
      <c r="E44" s="428">
        <v>2</v>
      </c>
      <c r="F44" s="429">
        <v>2.1</v>
      </c>
      <c r="G44" s="430">
        <v>0.38</v>
      </c>
      <c r="H44" s="430">
        <v>0.1</v>
      </c>
      <c r="I44" s="430">
        <f t="shared" si="1"/>
        <v>0.16</v>
      </c>
      <c r="J44" s="431"/>
    </row>
    <row r="45" spans="1:10" s="6" customFormat="1">
      <c r="A45" s="427"/>
      <c r="B45" s="427" t="s">
        <v>853</v>
      </c>
      <c r="C45" s="428">
        <v>1</v>
      </c>
      <c r="D45" s="428">
        <v>1</v>
      </c>
      <c r="E45" s="428">
        <v>1</v>
      </c>
      <c r="F45" s="429">
        <v>1.905</v>
      </c>
      <c r="G45" s="430">
        <v>0.38</v>
      </c>
      <c r="H45" s="430">
        <v>0.1</v>
      </c>
      <c r="I45" s="430">
        <f t="shared" si="1"/>
        <v>7.0000000000000007E-2</v>
      </c>
      <c r="J45" s="431"/>
    </row>
    <row r="46" spans="1:10" s="6" customFormat="1">
      <c r="A46" s="427"/>
      <c r="B46" s="427" t="s">
        <v>853</v>
      </c>
      <c r="C46" s="428">
        <v>1</v>
      </c>
      <c r="D46" s="428">
        <v>1</v>
      </c>
      <c r="E46" s="428">
        <v>2</v>
      </c>
      <c r="F46" s="429">
        <v>9.2949999999999999</v>
      </c>
      <c r="G46" s="430">
        <v>0.38</v>
      </c>
      <c r="H46" s="430">
        <v>0.1</v>
      </c>
      <c r="I46" s="430">
        <f t="shared" si="1"/>
        <v>0.71</v>
      </c>
      <c r="J46" s="431"/>
    </row>
    <row r="47" spans="1:10" s="6" customFormat="1">
      <c r="A47" s="427"/>
      <c r="B47" s="427" t="s">
        <v>853</v>
      </c>
      <c r="C47" s="428">
        <v>1</v>
      </c>
      <c r="D47" s="428">
        <v>1</v>
      </c>
      <c r="E47" s="428">
        <v>2</v>
      </c>
      <c r="F47" s="429">
        <v>4.2300000000000004</v>
      </c>
      <c r="G47" s="430">
        <v>0.38</v>
      </c>
      <c r="H47" s="430">
        <v>0.1</v>
      </c>
      <c r="I47" s="430">
        <f t="shared" si="1"/>
        <v>0.32</v>
      </c>
      <c r="J47" s="431"/>
    </row>
    <row r="48" spans="1:10" s="6" customFormat="1">
      <c r="A48" s="427"/>
      <c r="B48" s="427" t="s">
        <v>853</v>
      </c>
      <c r="C48" s="428">
        <v>1</v>
      </c>
      <c r="D48" s="428">
        <v>1</v>
      </c>
      <c r="E48" s="428">
        <v>1</v>
      </c>
      <c r="F48" s="429">
        <v>6.2</v>
      </c>
      <c r="G48" s="430">
        <v>0.38</v>
      </c>
      <c r="H48" s="430">
        <v>0.1</v>
      </c>
      <c r="I48" s="430">
        <f t="shared" si="1"/>
        <v>0.24</v>
      </c>
      <c r="J48" s="431"/>
    </row>
    <row r="49" spans="1:30" s="6" customFormat="1">
      <c r="A49" s="427"/>
      <c r="B49" s="427" t="s">
        <v>853</v>
      </c>
      <c r="C49" s="428">
        <v>1</v>
      </c>
      <c r="D49" s="428">
        <v>1</v>
      </c>
      <c r="E49" s="428">
        <v>2</v>
      </c>
      <c r="F49" s="429">
        <v>3.6949999999999998</v>
      </c>
      <c r="G49" s="430">
        <v>0.38</v>
      </c>
      <c r="H49" s="430">
        <v>0.1</v>
      </c>
      <c r="I49" s="430">
        <f t="shared" si="1"/>
        <v>0.28000000000000003</v>
      </c>
      <c r="J49" s="431"/>
    </row>
    <row r="50" spans="1:30" s="6" customFormat="1">
      <c r="A50" s="427"/>
      <c r="B50" s="427" t="s">
        <v>93</v>
      </c>
      <c r="C50" s="428">
        <v>1</v>
      </c>
      <c r="D50" s="428">
        <v>1</v>
      </c>
      <c r="E50" s="428">
        <v>2</v>
      </c>
      <c r="F50" s="429">
        <v>3.645</v>
      </c>
      <c r="G50" s="430">
        <v>0.38</v>
      </c>
      <c r="H50" s="430">
        <v>0.1</v>
      </c>
      <c r="I50" s="433">
        <f t="shared" si="1"/>
        <v>0.28000000000000003</v>
      </c>
      <c r="J50" s="431"/>
    </row>
    <row r="51" spans="1:30" s="6" customFormat="1">
      <c r="A51" s="427"/>
      <c r="B51" s="427" t="s">
        <v>93</v>
      </c>
      <c r="C51" s="428">
        <v>1</v>
      </c>
      <c r="D51" s="428">
        <v>1</v>
      </c>
      <c r="E51" s="428">
        <v>2</v>
      </c>
      <c r="F51" s="429">
        <v>7.6680000000000001</v>
      </c>
      <c r="G51" s="430">
        <v>0.38</v>
      </c>
      <c r="H51" s="430">
        <v>0.1</v>
      </c>
      <c r="I51" s="433">
        <f t="shared" si="1"/>
        <v>0.57999999999999996</v>
      </c>
      <c r="J51" s="431"/>
    </row>
    <row r="52" spans="1:30" s="6" customFormat="1">
      <c r="A52" s="427"/>
      <c r="B52" s="432" t="s">
        <v>937</v>
      </c>
      <c r="C52" s="428"/>
      <c r="D52" s="428"/>
      <c r="E52" s="428"/>
      <c r="F52" s="430"/>
      <c r="G52" s="430"/>
      <c r="H52" s="430"/>
      <c r="I52" s="433"/>
      <c r="J52" s="431"/>
    </row>
    <row r="53" spans="1:30" s="6" customFormat="1">
      <c r="A53" s="427"/>
      <c r="B53" s="427" t="s">
        <v>931</v>
      </c>
      <c r="C53" s="428">
        <v>-1</v>
      </c>
      <c r="D53" s="428">
        <v>1</v>
      </c>
      <c r="E53" s="428">
        <v>79</v>
      </c>
      <c r="F53" s="430">
        <v>0.45</v>
      </c>
      <c r="G53" s="430">
        <v>0.38</v>
      </c>
      <c r="H53" s="430">
        <v>0.1</v>
      </c>
      <c r="I53" s="430">
        <f>PRODUCT(C53:H53)</f>
        <v>-1.35</v>
      </c>
      <c r="J53" s="431"/>
    </row>
    <row r="54" spans="1:30" s="6" customFormat="1">
      <c r="A54" s="427"/>
      <c r="B54" s="427" t="s">
        <v>75</v>
      </c>
      <c r="C54" s="428">
        <v>-1</v>
      </c>
      <c r="D54" s="428">
        <v>1</v>
      </c>
      <c r="E54" s="428">
        <v>54</v>
      </c>
      <c r="F54" s="430">
        <v>0.6</v>
      </c>
      <c r="G54" s="430">
        <v>0.38</v>
      </c>
      <c r="H54" s="430">
        <v>0.1</v>
      </c>
      <c r="I54" s="430">
        <f>PRODUCT(C54:H54)</f>
        <v>-1.23</v>
      </c>
      <c r="J54" s="431"/>
    </row>
    <row r="55" spans="1:30" s="6" customFormat="1">
      <c r="A55" s="427"/>
      <c r="B55" s="427" t="s">
        <v>76</v>
      </c>
      <c r="C55" s="428">
        <v>-1</v>
      </c>
      <c r="D55" s="428">
        <v>1</v>
      </c>
      <c r="E55" s="428">
        <v>3</v>
      </c>
      <c r="F55" s="430">
        <v>0.6</v>
      </c>
      <c r="G55" s="430">
        <v>0.38</v>
      </c>
      <c r="H55" s="430">
        <v>0.1</v>
      </c>
      <c r="I55" s="430">
        <f>PRODUCT(C55:H55)</f>
        <v>-7.0000000000000007E-2</v>
      </c>
      <c r="J55" s="431"/>
    </row>
    <row r="56" spans="1:30" s="6" customFormat="1">
      <c r="A56" s="427"/>
      <c r="B56" s="427" t="s">
        <v>485</v>
      </c>
      <c r="C56" s="428">
        <v>-1</v>
      </c>
      <c r="D56" s="428">
        <v>1</v>
      </c>
      <c r="E56" s="428">
        <v>7</v>
      </c>
      <c r="F56" s="430">
        <v>0.75</v>
      </c>
      <c r="G56" s="430">
        <v>0.38</v>
      </c>
      <c r="H56" s="430">
        <v>0.1</v>
      </c>
      <c r="I56" s="430">
        <f>PRODUCT(C56:H56)</f>
        <v>-0.2</v>
      </c>
      <c r="J56" s="431"/>
    </row>
    <row r="57" spans="1:30" s="6" customFormat="1">
      <c r="A57" s="427"/>
      <c r="B57" s="427" t="s">
        <v>487</v>
      </c>
      <c r="C57" s="428">
        <v>-1</v>
      </c>
      <c r="D57" s="428">
        <v>1</v>
      </c>
      <c r="E57" s="428">
        <v>1</v>
      </c>
      <c r="F57" s="430">
        <v>0.75</v>
      </c>
      <c r="G57" s="430">
        <v>0.38</v>
      </c>
      <c r="H57" s="430">
        <v>0.1</v>
      </c>
      <c r="I57" s="430">
        <f>PRODUCT(C57:H57)</f>
        <v>-0.03</v>
      </c>
      <c r="J57" s="431"/>
    </row>
    <row r="58" spans="1:30" s="2" customFormat="1" ht="19.5" customHeight="1">
      <c r="A58" s="278"/>
      <c r="B58" s="279"/>
      <c r="C58" s="280"/>
      <c r="D58" s="280"/>
      <c r="E58" s="280"/>
      <c r="F58" s="282"/>
      <c r="G58" s="282"/>
      <c r="H58" s="415"/>
      <c r="I58" s="416">
        <f>SUM(I23:I57)</f>
        <v>148.55000000000001</v>
      </c>
      <c r="J58" s="284" t="s">
        <v>21</v>
      </c>
      <c r="K58" s="43"/>
      <c r="L58" s="43"/>
      <c r="M58" s="43"/>
      <c r="N58" s="9"/>
      <c r="O58" s="9"/>
      <c r="P58" s="9"/>
      <c r="Q58" s="9"/>
      <c r="R58" s="9"/>
      <c r="S58" s="9"/>
      <c r="T58" s="9"/>
      <c r="U58" s="9"/>
      <c r="V58" s="9"/>
      <c r="W58" s="9"/>
      <c r="X58" s="9"/>
      <c r="Y58" s="9"/>
      <c r="Z58" s="9"/>
      <c r="AA58" s="9"/>
      <c r="AB58" s="9"/>
      <c r="AC58" s="9"/>
      <c r="AD58" s="9"/>
    </row>
    <row r="59" spans="1:30" s="2" customFormat="1" ht="19.5" customHeight="1">
      <c r="A59" s="278"/>
      <c r="B59" s="279"/>
      <c r="C59" s="280"/>
      <c r="D59" s="280"/>
      <c r="E59" s="280"/>
      <c r="F59" s="282"/>
      <c r="G59" s="282"/>
      <c r="H59" s="415" t="s">
        <v>55</v>
      </c>
      <c r="I59" s="416">
        <f>ROUNDUP(I58,1)</f>
        <v>148.6</v>
      </c>
      <c r="J59" s="287" t="s">
        <v>21</v>
      </c>
      <c r="K59" s="42"/>
      <c r="L59" s="42"/>
      <c r="M59" s="42"/>
      <c r="N59" s="9"/>
      <c r="O59" s="9"/>
      <c r="P59" s="9"/>
      <c r="Q59" s="9"/>
      <c r="R59" s="9"/>
      <c r="S59" s="9"/>
      <c r="T59" s="9"/>
      <c r="U59" s="9"/>
      <c r="V59" s="9"/>
      <c r="W59" s="9"/>
      <c r="X59" s="9"/>
      <c r="Y59" s="9"/>
      <c r="Z59" s="9"/>
      <c r="AA59" s="9"/>
      <c r="AB59" s="9"/>
      <c r="AC59" s="9"/>
      <c r="AD59" s="9"/>
    </row>
    <row r="60" spans="1:30" s="2" customFormat="1" ht="19.5" customHeight="1">
      <c r="A60" s="288">
        <v>2.1</v>
      </c>
      <c r="B60" s="286" t="s">
        <v>1269</v>
      </c>
      <c r="C60" s="280"/>
      <c r="D60" s="280"/>
      <c r="E60" s="280"/>
      <c r="F60" s="282"/>
      <c r="G60" s="282"/>
      <c r="H60" s="415"/>
      <c r="I60" s="416"/>
      <c r="J60" s="284"/>
      <c r="K60" s="43"/>
      <c r="L60" s="43"/>
      <c r="M60" s="43"/>
      <c r="N60" s="9"/>
      <c r="O60" s="9"/>
      <c r="P60" s="9"/>
      <c r="Q60" s="9"/>
      <c r="R60" s="9"/>
      <c r="S60" s="9"/>
      <c r="T60" s="9"/>
      <c r="U60" s="9"/>
      <c r="V60" s="9"/>
      <c r="W60" s="9"/>
      <c r="X60" s="9"/>
      <c r="Y60" s="9"/>
      <c r="Z60" s="9"/>
      <c r="AA60" s="9"/>
      <c r="AB60" s="9"/>
      <c r="AC60" s="9"/>
      <c r="AD60" s="9"/>
    </row>
    <row r="61" spans="1:30" s="2" customFormat="1" ht="19.5" customHeight="1">
      <c r="A61" s="288"/>
      <c r="B61" s="286" t="s">
        <v>854</v>
      </c>
      <c r="C61" s="280"/>
      <c r="D61" s="280"/>
      <c r="E61" s="280"/>
      <c r="F61" s="282"/>
      <c r="G61" s="282"/>
      <c r="H61" s="415"/>
      <c r="I61" s="416"/>
      <c r="J61" s="284"/>
      <c r="K61" s="43"/>
      <c r="L61" s="43"/>
      <c r="M61" s="43"/>
      <c r="N61" s="9"/>
      <c r="O61" s="9"/>
      <c r="P61" s="9"/>
      <c r="Q61" s="9"/>
      <c r="R61" s="9"/>
      <c r="S61" s="9"/>
      <c r="T61" s="9"/>
      <c r="U61" s="9"/>
      <c r="V61" s="9"/>
      <c r="W61" s="9"/>
      <c r="X61" s="9"/>
      <c r="Y61" s="9"/>
      <c r="Z61" s="9"/>
      <c r="AA61" s="9"/>
      <c r="AB61" s="9"/>
      <c r="AC61" s="9"/>
      <c r="AD61" s="9"/>
    </row>
    <row r="62" spans="1:30" s="2" customFormat="1" ht="23.25" customHeight="1">
      <c r="A62" s="278"/>
      <c r="B62" s="279" t="s">
        <v>114</v>
      </c>
      <c r="C62" s="280">
        <v>1</v>
      </c>
      <c r="D62" s="280">
        <v>1</v>
      </c>
      <c r="E62" s="280">
        <v>1</v>
      </c>
      <c r="F62" s="281">
        <v>5.1849999999999996</v>
      </c>
      <c r="G62" s="281">
        <v>3.2349999999999999</v>
      </c>
      <c r="H62" s="282">
        <v>0.15</v>
      </c>
      <c r="I62" s="283">
        <f t="shared" ref="I62:I93" si="2">PRODUCT(C62:H62)</f>
        <v>2.52</v>
      </c>
      <c r="J62" s="284"/>
      <c r="K62" s="43"/>
      <c r="L62" s="43"/>
      <c r="M62" s="43"/>
      <c r="N62" s="9"/>
      <c r="O62" s="9"/>
      <c r="P62" s="9"/>
      <c r="Q62" s="9"/>
      <c r="R62" s="9"/>
      <c r="S62" s="9"/>
      <c r="T62" s="9"/>
      <c r="U62" s="9"/>
      <c r="V62" s="9"/>
      <c r="W62" s="9"/>
      <c r="X62" s="9"/>
      <c r="Y62" s="9"/>
      <c r="Z62" s="9"/>
      <c r="AA62" s="9"/>
      <c r="AB62" s="9"/>
      <c r="AC62" s="9"/>
      <c r="AD62" s="9"/>
    </row>
    <row r="63" spans="1:30" s="2" customFormat="1" ht="23.25" customHeight="1">
      <c r="A63" s="278"/>
      <c r="B63" s="279" t="s">
        <v>71</v>
      </c>
      <c r="C63" s="280">
        <v>1</v>
      </c>
      <c r="D63" s="280">
        <v>1</v>
      </c>
      <c r="E63" s="280">
        <v>1</v>
      </c>
      <c r="F63" s="281">
        <v>2.1</v>
      </c>
      <c r="G63" s="281">
        <v>1.3149999999999999</v>
      </c>
      <c r="H63" s="282">
        <v>0.15</v>
      </c>
      <c r="I63" s="283">
        <f t="shared" si="2"/>
        <v>0.41</v>
      </c>
      <c r="J63" s="284"/>
      <c r="K63" s="43"/>
      <c r="L63" s="43"/>
      <c r="M63" s="43"/>
      <c r="N63" s="9"/>
      <c r="O63" s="9"/>
      <c r="P63" s="9"/>
      <c r="Q63" s="9"/>
      <c r="R63" s="9"/>
      <c r="S63" s="9"/>
      <c r="T63" s="9"/>
      <c r="U63" s="9"/>
      <c r="V63" s="9"/>
      <c r="W63" s="9"/>
      <c r="X63" s="9"/>
      <c r="Y63" s="9"/>
      <c r="Z63" s="9"/>
      <c r="AA63" s="9"/>
      <c r="AB63" s="9"/>
      <c r="AC63" s="9"/>
      <c r="AD63" s="9"/>
    </row>
    <row r="64" spans="1:30" s="2" customFormat="1" ht="23.25" customHeight="1">
      <c r="A64" s="278"/>
      <c r="B64" s="279" t="s">
        <v>540</v>
      </c>
      <c r="C64" s="280">
        <v>1</v>
      </c>
      <c r="D64" s="280">
        <v>1</v>
      </c>
      <c r="E64" s="280">
        <v>1</v>
      </c>
      <c r="F64" s="281">
        <v>1.47</v>
      </c>
      <c r="G64" s="281">
        <v>1.2649999999999999</v>
      </c>
      <c r="H64" s="282">
        <v>0.15</v>
      </c>
      <c r="I64" s="283">
        <f t="shared" si="2"/>
        <v>0.28000000000000003</v>
      </c>
      <c r="J64" s="284"/>
      <c r="K64" s="43"/>
      <c r="L64" s="43"/>
      <c r="M64" s="43"/>
      <c r="N64" s="9"/>
      <c r="O64" s="9"/>
      <c r="P64" s="9"/>
      <c r="Q64" s="9"/>
      <c r="R64" s="9"/>
      <c r="S64" s="9"/>
      <c r="T64" s="9"/>
      <c r="U64" s="9"/>
      <c r="V64" s="9"/>
      <c r="W64" s="9"/>
      <c r="X64" s="9"/>
      <c r="Y64" s="9"/>
      <c r="Z64" s="9"/>
      <c r="AA64" s="9"/>
      <c r="AB64" s="9"/>
      <c r="AC64" s="9"/>
      <c r="AD64" s="9"/>
    </row>
    <row r="65" spans="1:30" s="2" customFormat="1" ht="23.25" customHeight="1">
      <c r="A65" s="278"/>
      <c r="B65" s="279" t="s">
        <v>308</v>
      </c>
      <c r="C65" s="280">
        <v>1</v>
      </c>
      <c r="D65" s="280">
        <v>1</v>
      </c>
      <c r="E65" s="280">
        <v>2</v>
      </c>
      <c r="F65" s="281">
        <v>5.1749999999999998</v>
      </c>
      <c r="G65" s="281">
        <v>3.165</v>
      </c>
      <c r="H65" s="282">
        <v>0.15</v>
      </c>
      <c r="I65" s="283">
        <f t="shared" si="2"/>
        <v>4.91</v>
      </c>
      <c r="J65" s="284"/>
      <c r="K65" s="43"/>
      <c r="L65" s="43"/>
      <c r="M65" s="43"/>
      <c r="N65" s="9"/>
      <c r="O65" s="9"/>
      <c r="P65" s="9"/>
      <c r="Q65" s="9"/>
      <c r="R65" s="9"/>
      <c r="S65" s="9"/>
      <c r="T65" s="9"/>
      <c r="U65" s="9"/>
      <c r="V65" s="9"/>
      <c r="W65" s="9"/>
      <c r="X65" s="9"/>
      <c r="Y65" s="9"/>
      <c r="Z65" s="9"/>
      <c r="AA65" s="9"/>
      <c r="AB65" s="9"/>
      <c r="AC65" s="9"/>
      <c r="AD65" s="9"/>
    </row>
    <row r="66" spans="1:30" s="2" customFormat="1" ht="23.25" customHeight="1">
      <c r="A66" s="278"/>
      <c r="B66" s="279" t="s">
        <v>308</v>
      </c>
      <c r="C66" s="280">
        <v>1</v>
      </c>
      <c r="D66" s="280">
        <v>1</v>
      </c>
      <c r="E66" s="280">
        <v>2</v>
      </c>
      <c r="F66" s="281">
        <v>3.3849999999999998</v>
      </c>
      <c r="G66" s="282">
        <v>4</v>
      </c>
      <c r="H66" s="282">
        <v>0.15</v>
      </c>
      <c r="I66" s="283">
        <f t="shared" si="2"/>
        <v>4.0599999999999996</v>
      </c>
      <c r="J66" s="284"/>
      <c r="K66" s="43"/>
      <c r="L66" s="43"/>
      <c r="M66" s="43"/>
      <c r="N66" s="9"/>
      <c r="O66" s="9"/>
      <c r="P66" s="9"/>
      <c r="Q66" s="9"/>
      <c r="R66" s="9"/>
      <c r="S66" s="9"/>
      <c r="T66" s="9"/>
      <c r="U66" s="9"/>
      <c r="V66" s="9"/>
      <c r="W66" s="9"/>
      <c r="X66" s="9"/>
      <c r="Y66" s="9"/>
      <c r="Z66" s="9"/>
      <c r="AA66" s="9"/>
      <c r="AB66" s="9"/>
      <c r="AC66" s="9"/>
      <c r="AD66" s="9"/>
    </row>
    <row r="67" spans="1:30" s="2" customFormat="1" ht="23.25" customHeight="1">
      <c r="A67" s="278"/>
      <c r="B67" s="279" t="s">
        <v>308</v>
      </c>
      <c r="C67" s="280">
        <v>1</v>
      </c>
      <c r="D67" s="280">
        <v>1</v>
      </c>
      <c r="E67" s="280">
        <v>2</v>
      </c>
      <c r="F67" s="281">
        <v>1.43</v>
      </c>
      <c r="G67" s="282">
        <v>2.17</v>
      </c>
      <c r="H67" s="282">
        <v>0.15</v>
      </c>
      <c r="I67" s="283">
        <f t="shared" si="2"/>
        <v>0.93</v>
      </c>
      <c r="J67" s="284"/>
      <c r="K67" s="43"/>
      <c r="L67" s="43"/>
      <c r="M67" s="43"/>
      <c r="N67" s="9"/>
      <c r="O67" s="9"/>
      <c r="P67" s="9"/>
      <c r="Q67" s="9"/>
      <c r="R67" s="9"/>
      <c r="S67" s="9"/>
      <c r="T67" s="9"/>
      <c r="U67" s="9"/>
      <c r="V67" s="9"/>
      <c r="W67" s="9"/>
      <c r="X67" s="9"/>
      <c r="Y67" s="9"/>
      <c r="Z67" s="9"/>
      <c r="AA67" s="9"/>
      <c r="AB67" s="9"/>
      <c r="AC67" s="9"/>
      <c r="AD67" s="9"/>
    </row>
    <row r="68" spans="1:30" s="2" customFormat="1" ht="23.25" customHeight="1">
      <c r="A68" s="278"/>
      <c r="B68" s="279" t="s">
        <v>889</v>
      </c>
      <c r="C68" s="280">
        <v>1</v>
      </c>
      <c r="D68" s="280">
        <v>1</v>
      </c>
      <c r="E68" s="280">
        <v>2</v>
      </c>
      <c r="F68" s="281">
        <v>14.16</v>
      </c>
      <c r="G68" s="281">
        <v>8.8949999999999996</v>
      </c>
      <c r="H68" s="282">
        <v>0.15</v>
      </c>
      <c r="I68" s="283">
        <f t="shared" si="2"/>
        <v>37.79</v>
      </c>
      <c r="J68" s="284"/>
      <c r="K68" s="43"/>
      <c r="L68" s="43"/>
      <c r="M68" s="43"/>
      <c r="N68" s="9"/>
      <c r="O68" s="9"/>
      <c r="P68" s="9"/>
      <c r="Q68" s="9"/>
      <c r="R68" s="9"/>
      <c r="S68" s="9"/>
      <c r="T68" s="9"/>
      <c r="U68" s="9"/>
      <c r="V68" s="9"/>
      <c r="W68" s="9"/>
      <c r="X68" s="9"/>
      <c r="Y68" s="9"/>
      <c r="Z68" s="9"/>
      <c r="AA68" s="9"/>
      <c r="AB68" s="9"/>
      <c r="AC68" s="9"/>
      <c r="AD68" s="9"/>
    </row>
    <row r="69" spans="1:30" s="2" customFormat="1" ht="23.25" customHeight="1">
      <c r="A69" s="278"/>
      <c r="B69" s="279" t="s">
        <v>890</v>
      </c>
      <c r="C69" s="280">
        <v>1</v>
      </c>
      <c r="D69" s="280">
        <v>1</v>
      </c>
      <c r="E69" s="280">
        <v>3</v>
      </c>
      <c r="F69" s="281">
        <v>6.9649999999999999</v>
      </c>
      <c r="G69" s="281">
        <v>8.8949999999999996</v>
      </c>
      <c r="H69" s="282">
        <v>0.15</v>
      </c>
      <c r="I69" s="283">
        <f t="shared" si="2"/>
        <v>27.88</v>
      </c>
      <c r="J69" s="284"/>
      <c r="K69" s="43"/>
      <c r="L69" s="43"/>
      <c r="M69" s="43"/>
      <c r="N69" s="9"/>
      <c r="O69" s="9"/>
      <c r="P69" s="9"/>
      <c r="Q69" s="9"/>
      <c r="R69" s="9"/>
      <c r="S69" s="9"/>
      <c r="T69" s="9"/>
      <c r="U69" s="9"/>
      <c r="V69" s="9"/>
      <c r="W69" s="9"/>
      <c r="X69" s="9"/>
      <c r="Y69" s="9"/>
      <c r="Z69" s="9"/>
      <c r="AA69" s="9"/>
      <c r="AB69" s="9"/>
      <c r="AC69" s="9"/>
      <c r="AD69" s="9"/>
    </row>
    <row r="70" spans="1:30" s="2" customFormat="1" ht="23.25" customHeight="1">
      <c r="A70" s="278"/>
      <c r="B70" s="279" t="s">
        <v>890</v>
      </c>
      <c r="C70" s="280">
        <v>1</v>
      </c>
      <c r="D70" s="280">
        <v>1</v>
      </c>
      <c r="E70" s="280">
        <v>3</v>
      </c>
      <c r="F70" s="281">
        <v>3.35</v>
      </c>
      <c r="G70" s="281">
        <v>5.43</v>
      </c>
      <c r="H70" s="282">
        <v>0.15</v>
      </c>
      <c r="I70" s="283">
        <f t="shared" si="2"/>
        <v>8.19</v>
      </c>
      <c r="J70" s="284"/>
      <c r="K70" s="43"/>
      <c r="L70" s="43"/>
      <c r="M70" s="43"/>
      <c r="N70" s="9"/>
      <c r="O70" s="9"/>
      <c r="P70" s="9"/>
      <c r="Q70" s="9"/>
      <c r="R70" s="9"/>
      <c r="S70" s="9"/>
      <c r="T70" s="9"/>
      <c r="U70" s="9"/>
      <c r="V70" s="9"/>
      <c r="W70" s="9"/>
      <c r="X70" s="9"/>
      <c r="Y70" s="9"/>
      <c r="Z70" s="9"/>
      <c r="AA70" s="9"/>
      <c r="AB70" s="9"/>
      <c r="AC70" s="9"/>
      <c r="AD70" s="9"/>
    </row>
    <row r="71" spans="1:30" s="2" customFormat="1" ht="23.25" customHeight="1">
      <c r="A71" s="278"/>
      <c r="B71" s="279" t="s">
        <v>890</v>
      </c>
      <c r="C71" s="280">
        <v>1</v>
      </c>
      <c r="D71" s="280">
        <v>1</v>
      </c>
      <c r="E71" s="280">
        <v>3</v>
      </c>
      <c r="F71" s="281">
        <v>1.55</v>
      </c>
      <c r="G71" s="281">
        <v>3.2349999999999999</v>
      </c>
      <c r="H71" s="282">
        <v>0.15</v>
      </c>
      <c r="I71" s="283">
        <f t="shared" si="2"/>
        <v>2.2599999999999998</v>
      </c>
      <c r="J71" s="284"/>
      <c r="K71" s="43"/>
      <c r="L71" s="43"/>
      <c r="M71" s="43"/>
      <c r="N71" s="9"/>
      <c r="O71" s="9"/>
      <c r="P71" s="9"/>
      <c r="Q71" s="9"/>
      <c r="R71" s="9"/>
      <c r="S71" s="9"/>
      <c r="T71" s="9"/>
      <c r="U71" s="9"/>
      <c r="V71" s="9"/>
      <c r="W71" s="9"/>
      <c r="X71" s="9"/>
      <c r="Y71" s="9"/>
      <c r="Z71" s="9"/>
      <c r="AA71" s="9"/>
      <c r="AB71" s="9"/>
      <c r="AC71" s="9"/>
      <c r="AD71" s="9"/>
    </row>
    <row r="72" spans="1:30" s="2" customFormat="1" ht="23.25" customHeight="1">
      <c r="A72" s="278"/>
      <c r="B72" s="279" t="s">
        <v>891</v>
      </c>
      <c r="C72" s="280">
        <v>1</v>
      </c>
      <c r="D72" s="280">
        <v>1</v>
      </c>
      <c r="E72" s="280">
        <v>2</v>
      </c>
      <c r="F72" s="281">
        <v>2.85</v>
      </c>
      <c r="G72" s="281">
        <v>4.2</v>
      </c>
      <c r="H72" s="282">
        <v>0.15</v>
      </c>
      <c r="I72" s="283">
        <f t="shared" si="2"/>
        <v>3.59</v>
      </c>
      <c r="J72" s="284"/>
      <c r="K72" s="43"/>
      <c r="L72" s="43"/>
      <c r="M72" s="43"/>
      <c r="N72" s="9"/>
      <c r="O72" s="9"/>
      <c r="P72" s="9"/>
      <c r="Q72" s="9"/>
      <c r="R72" s="9"/>
      <c r="S72" s="9"/>
      <c r="T72" s="9"/>
      <c r="U72" s="9"/>
      <c r="V72" s="9"/>
      <c r="W72" s="9"/>
      <c r="X72" s="9"/>
      <c r="Y72" s="9"/>
      <c r="Z72" s="9"/>
      <c r="AA72" s="9"/>
      <c r="AB72" s="9"/>
      <c r="AC72" s="9"/>
      <c r="AD72" s="9"/>
    </row>
    <row r="73" spans="1:30" s="2" customFormat="1" ht="23.25" customHeight="1">
      <c r="A73" s="278"/>
      <c r="B73" s="279" t="s">
        <v>892</v>
      </c>
      <c r="C73" s="280">
        <v>1</v>
      </c>
      <c r="D73" s="280">
        <v>1</v>
      </c>
      <c r="E73" s="280">
        <v>2</v>
      </c>
      <c r="F73" s="281">
        <v>2.85</v>
      </c>
      <c r="G73" s="281">
        <v>1.2</v>
      </c>
      <c r="H73" s="282">
        <v>0.15</v>
      </c>
      <c r="I73" s="283">
        <f t="shared" si="2"/>
        <v>1.03</v>
      </c>
      <c r="J73" s="284"/>
      <c r="K73" s="43"/>
      <c r="L73" s="43"/>
      <c r="M73" s="43"/>
      <c r="N73" s="9"/>
      <c r="O73" s="9"/>
      <c r="P73" s="9"/>
      <c r="Q73" s="9"/>
      <c r="R73" s="9"/>
      <c r="S73" s="9"/>
      <c r="T73" s="9"/>
      <c r="U73" s="9"/>
      <c r="V73" s="9"/>
      <c r="W73" s="9"/>
      <c r="X73" s="9"/>
      <c r="Y73" s="9"/>
      <c r="Z73" s="9"/>
      <c r="AA73" s="9"/>
      <c r="AB73" s="9"/>
      <c r="AC73" s="9"/>
      <c r="AD73" s="9"/>
    </row>
    <row r="74" spans="1:30" s="2" customFormat="1" ht="23.25" customHeight="1">
      <c r="A74" s="278"/>
      <c r="B74" s="279" t="s">
        <v>893</v>
      </c>
      <c r="C74" s="280">
        <v>1</v>
      </c>
      <c r="D74" s="280">
        <v>1</v>
      </c>
      <c r="E74" s="280">
        <v>2</v>
      </c>
      <c r="F74" s="281">
        <v>1.8</v>
      </c>
      <c r="G74" s="281">
        <v>2.0289999999999999</v>
      </c>
      <c r="H74" s="282">
        <v>0.15</v>
      </c>
      <c r="I74" s="283">
        <f t="shared" si="2"/>
        <v>1.1000000000000001</v>
      </c>
      <c r="J74" s="284"/>
      <c r="K74" s="43"/>
      <c r="L74" s="43"/>
      <c r="M74" s="43"/>
      <c r="N74" s="9"/>
      <c r="O74" s="9"/>
      <c r="P74" s="9"/>
      <c r="Q74" s="9"/>
      <c r="R74" s="9"/>
      <c r="S74" s="9"/>
      <c r="T74" s="9"/>
      <c r="U74" s="9"/>
      <c r="V74" s="9"/>
      <c r="W74" s="9"/>
      <c r="X74" s="9"/>
      <c r="Y74" s="9"/>
      <c r="Z74" s="9"/>
      <c r="AA74" s="9"/>
      <c r="AB74" s="9"/>
      <c r="AC74" s="9"/>
      <c r="AD74" s="9"/>
    </row>
    <row r="75" spans="1:30" s="2" customFormat="1" ht="23.25" customHeight="1">
      <c r="A75" s="278"/>
      <c r="B75" s="279" t="s">
        <v>539</v>
      </c>
      <c r="C75" s="280">
        <v>1</v>
      </c>
      <c r="D75" s="280">
        <v>1</v>
      </c>
      <c r="E75" s="280">
        <v>2</v>
      </c>
      <c r="F75" s="281">
        <v>1.9</v>
      </c>
      <c r="G75" s="281">
        <v>3.1</v>
      </c>
      <c r="H75" s="282">
        <v>0.15</v>
      </c>
      <c r="I75" s="283">
        <f t="shared" si="2"/>
        <v>1.77</v>
      </c>
      <c r="J75" s="284"/>
      <c r="K75" s="43"/>
      <c r="L75" s="43"/>
      <c r="M75" s="43"/>
      <c r="N75" s="9"/>
      <c r="O75" s="9"/>
      <c r="P75" s="9"/>
      <c r="Q75" s="9"/>
      <c r="R75" s="9"/>
      <c r="S75" s="9"/>
      <c r="T75" s="9"/>
      <c r="U75" s="9"/>
      <c r="V75" s="9"/>
      <c r="W75" s="9"/>
      <c r="X75" s="9"/>
      <c r="Y75" s="9"/>
      <c r="Z75" s="9"/>
      <c r="AA75" s="9"/>
      <c r="AB75" s="9"/>
      <c r="AC75" s="9"/>
      <c r="AD75" s="9"/>
    </row>
    <row r="76" spans="1:30" s="2" customFormat="1" ht="23.25" customHeight="1">
      <c r="A76" s="278"/>
      <c r="B76" s="279" t="s">
        <v>894</v>
      </c>
      <c r="C76" s="280">
        <v>2</v>
      </c>
      <c r="D76" s="280">
        <v>1</v>
      </c>
      <c r="E76" s="280">
        <v>1</v>
      </c>
      <c r="F76" s="281">
        <v>1.9</v>
      </c>
      <c r="G76" s="281">
        <v>1.5</v>
      </c>
      <c r="H76" s="282">
        <v>0.15</v>
      </c>
      <c r="I76" s="283">
        <f t="shared" si="2"/>
        <v>0.86</v>
      </c>
      <c r="J76" s="284"/>
      <c r="K76" s="43"/>
      <c r="L76" s="43"/>
      <c r="M76" s="43"/>
      <c r="N76" s="9"/>
      <c r="O76" s="9"/>
      <c r="P76" s="9"/>
      <c r="Q76" s="9"/>
      <c r="R76" s="9"/>
      <c r="S76" s="9"/>
      <c r="T76" s="9"/>
      <c r="U76" s="9"/>
      <c r="V76" s="9"/>
      <c r="W76" s="9"/>
      <c r="X76" s="9"/>
      <c r="Y76" s="9"/>
      <c r="Z76" s="9"/>
      <c r="AA76" s="9"/>
      <c r="AB76" s="9"/>
      <c r="AC76" s="9"/>
      <c r="AD76" s="9"/>
    </row>
    <row r="77" spans="1:30" s="2" customFormat="1" ht="23.25" customHeight="1">
      <c r="A77" s="278"/>
      <c r="B77" s="279" t="s">
        <v>895</v>
      </c>
      <c r="C77" s="280">
        <v>1</v>
      </c>
      <c r="D77" s="280">
        <v>1</v>
      </c>
      <c r="E77" s="280">
        <v>1</v>
      </c>
      <c r="F77" s="281">
        <v>4.9850000000000003</v>
      </c>
      <c r="G77" s="281">
        <v>6.06</v>
      </c>
      <c r="H77" s="282">
        <v>0.15</v>
      </c>
      <c r="I77" s="283">
        <f t="shared" si="2"/>
        <v>4.53</v>
      </c>
      <c r="J77" s="284"/>
      <c r="K77" s="43"/>
      <c r="L77" s="43"/>
      <c r="M77" s="43"/>
      <c r="N77" s="9"/>
      <c r="O77" s="9"/>
      <c r="P77" s="9"/>
      <c r="Q77" s="9"/>
      <c r="R77" s="9"/>
      <c r="S77" s="9"/>
      <c r="T77" s="9"/>
      <c r="U77" s="9"/>
      <c r="V77" s="9"/>
      <c r="W77" s="9"/>
      <c r="X77" s="9"/>
      <c r="Y77" s="9"/>
      <c r="Z77" s="9"/>
      <c r="AA77" s="9"/>
      <c r="AB77" s="9"/>
      <c r="AC77" s="9"/>
      <c r="AD77" s="9"/>
    </row>
    <row r="78" spans="1:30" s="2" customFormat="1" ht="23.25" customHeight="1">
      <c r="A78" s="278"/>
      <c r="B78" s="279" t="s">
        <v>896</v>
      </c>
      <c r="C78" s="280">
        <v>2</v>
      </c>
      <c r="D78" s="280">
        <v>1</v>
      </c>
      <c r="E78" s="280">
        <v>3</v>
      </c>
      <c r="F78" s="281">
        <v>4.83</v>
      </c>
      <c r="G78" s="281">
        <v>1.9</v>
      </c>
      <c r="H78" s="282">
        <v>0.15</v>
      </c>
      <c r="I78" s="283">
        <f t="shared" si="2"/>
        <v>8.26</v>
      </c>
      <c r="J78" s="284"/>
      <c r="K78" s="43"/>
      <c r="L78" s="43"/>
      <c r="M78" s="43"/>
      <c r="N78" s="9"/>
      <c r="O78" s="9"/>
      <c r="P78" s="9"/>
      <c r="Q78" s="9"/>
      <c r="R78" s="9"/>
      <c r="S78" s="9"/>
      <c r="T78" s="9"/>
      <c r="U78" s="9"/>
      <c r="V78" s="9"/>
      <c r="W78" s="9"/>
      <c r="X78" s="9"/>
      <c r="Y78" s="9"/>
      <c r="Z78" s="9"/>
      <c r="AA78" s="9"/>
      <c r="AB78" s="9"/>
      <c r="AC78" s="9"/>
      <c r="AD78" s="9"/>
    </row>
    <row r="79" spans="1:30" s="2" customFormat="1" ht="23.25" customHeight="1">
      <c r="A79" s="278"/>
      <c r="B79" s="279" t="s">
        <v>144</v>
      </c>
      <c r="C79" s="280">
        <v>1</v>
      </c>
      <c r="D79" s="280">
        <v>1</v>
      </c>
      <c r="E79" s="280">
        <v>1</v>
      </c>
      <c r="F79" s="281">
        <v>27.164999999999999</v>
      </c>
      <c r="G79" s="281">
        <v>1.8</v>
      </c>
      <c r="H79" s="282">
        <v>0.15</v>
      </c>
      <c r="I79" s="283">
        <f t="shared" si="2"/>
        <v>7.33</v>
      </c>
      <c r="J79" s="284"/>
      <c r="K79" s="43"/>
      <c r="L79" s="43"/>
      <c r="M79" s="43"/>
      <c r="N79" s="9"/>
      <c r="O79" s="9"/>
      <c r="P79" s="9"/>
      <c r="Q79" s="9"/>
      <c r="R79" s="9"/>
      <c r="S79" s="9"/>
      <c r="T79" s="9"/>
      <c r="U79" s="9"/>
      <c r="V79" s="9"/>
      <c r="W79" s="9"/>
      <c r="X79" s="9"/>
      <c r="Y79" s="9"/>
      <c r="Z79" s="9"/>
      <c r="AA79" s="9"/>
      <c r="AB79" s="9"/>
      <c r="AC79" s="9"/>
      <c r="AD79" s="9"/>
    </row>
    <row r="80" spans="1:30" s="2" customFormat="1" ht="23.25" customHeight="1">
      <c r="A80" s="278"/>
      <c r="B80" s="279" t="s">
        <v>895</v>
      </c>
      <c r="C80" s="280">
        <v>1</v>
      </c>
      <c r="D80" s="280">
        <v>1</v>
      </c>
      <c r="E80" s="280">
        <v>1</v>
      </c>
      <c r="F80" s="281">
        <v>2.1</v>
      </c>
      <c r="G80" s="281">
        <v>1.9</v>
      </c>
      <c r="H80" s="282">
        <v>0.15</v>
      </c>
      <c r="I80" s="283">
        <f t="shared" si="2"/>
        <v>0.6</v>
      </c>
      <c r="J80" s="284"/>
      <c r="K80" s="43"/>
      <c r="L80" s="43"/>
      <c r="M80" s="43"/>
      <c r="N80" s="9"/>
      <c r="O80" s="9"/>
      <c r="P80" s="9"/>
      <c r="Q80" s="9"/>
      <c r="R80" s="9"/>
      <c r="S80" s="9"/>
      <c r="T80" s="9"/>
      <c r="U80" s="9"/>
      <c r="V80" s="9"/>
      <c r="W80" s="9"/>
      <c r="X80" s="9"/>
      <c r="Y80" s="9"/>
      <c r="Z80" s="9"/>
      <c r="AA80" s="9"/>
      <c r="AB80" s="9"/>
      <c r="AC80" s="9"/>
      <c r="AD80" s="9"/>
    </row>
    <row r="81" spans="1:30" s="2" customFormat="1" ht="23.25" customHeight="1">
      <c r="A81" s="278"/>
      <c r="B81" s="279" t="s">
        <v>539</v>
      </c>
      <c r="C81" s="280">
        <v>1</v>
      </c>
      <c r="D81" s="280">
        <v>1</v>
      </c>
      <c r="E81" s="280">
        <v>2</v>
      </c>
      <c r="F81" s="281">
        <v>4.2300000000000004</v>
      </c>
      <c r="G81" s="281">
        <v>1.9</v>
      </c>
      <c r="H81" s="282">
        <v>0.15</v>
      </c>
      <c r="I81" s="283">
        <f t="shared" si="2"/>
        <v>2.41</v>
      </c>
      <c r="J81" s="284"/>
      <c r="K81" s="43"/>
      <c r="L81" s="43"/>
      <c r="M81" s="43"/>
      <c r="N81" s="9"/>
      <c r="O81" s="9"/>
      <c r="P81" s="9"/>
      <c r="Q81" s="9"/>
      <c r="R81" s="9"/>
      <c r="S81" s="9"/>
      <c r="T81" s="9"/>
      <c r="U81" s="9"/>
      <c r="V81" s="9"/>
      <c r="W81" s="9"/>
      <c r="X81" s="9"/>
      <c r="Y81" s="9"/>
      <c r="Z81" s="9"/>
      <c r="AA81" s="9"/>
      <c r="AB81" s="9"/>
      <c r="AC81" s="9"/>
      <c r="AD81" s="9"/>
    </row>
    <row r="82" spans="1:30" s="2" customFormat="1" ht="23.25" customHeight="1">
      <c r="A82" s="278"/>
      <c r="B82" s="279" t="s">
        <v>897</v>
      </c>
      <c r="C82" s="280">
        <v>1</v>
      </c>
      <c r="D82" s="280">
        <v>1</v>
      </c>
      <c r="E82" s="280">
        <v>1</v>
      </c>
      <c r="F82" s="281">
        <v>4.2</v>
      </c>
      <c r="G82" s="281">
        <v>3.53</v>
      </c>
      <c r="H82" s="282">
        <v>0.15</v>
      </c>
      <c r="I82" s="283">
        <f t="shared" si="2"/>
        <v>2.2200000000000002</v>
      </c>
      <c r="J82" s="284"/>
      <c r="K82" s="43"/>
      <c r="L82" s="43"/>
      <c r="M82" s="43"/>
      <c r="N82" s="9"/>
      <c r="O82" s="9"/>
      <c r="P82" s="9"/>
      <c r="Q82" s="9"/>
      <c r="R82" s="9"/>
      <c r="S82" s="9"/>
      <c r="T82" s="9"/>
      <c r="U82" s="9"/>
      <c r="V82" s="9"/>
      <c r="W82" s="9"/>
      <c r="X82" s="9"/>
      <c r="Y82" s="9"/>
      <c r="Z82" s="9"/>
      <c r="AA82" s="9"/>
      <c r="AB82" s="9"/>
      <c r="AC82" s="9"/>
      <c r="AD82" s="9"/>
    </row>
    <row r="83" spans="1:30" s="2" customFormat="1" ht="23.25" customHeight="1">
      <c r="A83" s="278"/>
      <c r="B83" s="279" t="s">
        <v>306</v>
      </c>
      <c r="C83" s="280">
        <v>1</v>
      </c>
      <c r="D83" s="280">
        <v>1</v>
      </c>
      <c r="E83" s="280">
        <v>1</v>
      </c>
      <c r="F83" s="281">
        <v>1.77</v>
      </c>
      <c r="G83" s="281">
        <v>3.53</v>
      </c>
      <c r="H83" s="282">
        <v>0.15</v>
      </c>
      <c r="I83" s="283">
        <f t="shared" si="2"/>
        <v>0.94</v>
      </c>
      <c r="J83" s="284"/>
      <c r="K83" s="43"/>
      <c r="L83" s="43"/>
      <c r="M83" s="43"/>
      <c r="N83" s="9"/>
      <c r="O83" s="9"/>
      <c r="P83" s="9"/>
      <c r="Q83" s="9"/>
      <c r="R83" s="9"/>
      <c r="S83" s="9"/>
      <c r="T83" s="9"/>
      <c r="U83" s="9"/>
      <c r="V83" s="9"/>
      <c r="W83" s="9"/>
      <c r="X83" s="9"/>
      <c r="Y83" s="9"/>
      <c r="Z83" s="9"/>
      <c r="AA83" s="9"/>
      <c r="AB83" s="9"/>
      <c r="AC83" s="9"/>
      <c r="AD83" s="9"/>
    </row>
    <row r="84" spans="1:30" s="2" customFormat="1" ht="23.25" customHeight="1">
      <c r="A84" s="278"/>
      <c r="B84" s="279" t="s">
        <v>898</v>
      </c>
      <c r="C84" s="280">
        <v>1</v>
      </c>
      <c r="D84" s="280">
        <v>1</v>
      </c>
      <c r="E84" s="280">
        <v>1</v>
      </c>
      <c r="F84" s="281">
        <v>2.97</v>
      </c>
      <c r="G84" s="282">
        <v>2.2999999999999998</v>
      </c>
      <c r="H84" s="282">
        <v>0.15</v>
      </c>
      <c r="I84" s="283">
        <f t="shared" si="2"/>
        <v>1.02</v>
      </c>
      <c r="J84" s="284"/>
      <c r="K84" s="43"/>
      <c r="L84" s="43"/>
      <c r="M84" s="43"/>
      <c r="N84" s="9"/>
      <c r="O84" s="9"/>
      <c r="P84" s="9"/>
      <c r="Q84" s="9"/>
      <c r="R84" s="9"/>
      <c r="S84" s="9"/>
      <c r="T84" s="9"/>
      <c r="U84" s="9"/>
      <c r="V84" s="9"/>
      <c r="W84" s="9"/>
      <c r="X84" s="9"/>
      <c r="Y84" s="9"/>
      <c r="Z84" s="9"/>
      <c r="AA84" s="9"/>
      <c r="AB84" s="9"/>
      <c r="AC84" s="9"/>
      <c r="AD84" s="9"/>
    </row>
    <row r="85" spans="1:30" s="2" customFormat="1" ht="23.25" customHeight="1">
      <c r="A85" s="278"/>
      <c r="B85" s="279" t="s">
        <v>899</v>
      </c>
      <c r="C85" s="280">
        <v>1</v>
      </c>
      <c r="D85" s="280">
        <v>2</v>
      </c>
      <c r="E85" s="280">
        <v>2</v>
      </c>
      <c r="F85" s="281">
        <v>9.125</v>
      </c>
      <c r="G85" s="282">
        <v>2.8</v>
      </c>
      <c r="H85" s="282">
        <v>0.15</v>
      </c>
      <c r="I85" s="283">
        <f t="shared" si="2"/>
        <v>15.33</v>
      </c>
      <c r="J85" s="284"/>
      <c r="K85" s="43"/>
      <c r="L85" s="43"/>
      <c r="M85" s="43"/>
      <c r="N85" s="9"/>
      <c r="O85" s="9"/>
      <c r="P85" s="9"/>
      <c r="Q85" s="9"/>
      <c r="R85" s="9"/>
      <c r="S85" s="9"/>
      <c r="T85" s="9"/>
      <c r="U85" s="9"/>
      <c r="V85" s="9"/>
      <c r="W85" s="9"/>
      <c r="X85" s="9"/>
      <c r="Y85" s="9"/>
      <c r="Z85" s="9"/>
      <c r="AA85" s="9"/>
      <c r="AB85" s="9"/>
      <c r="AC85" s="9"/>
      <c r="AD85" s="9"/>
    </row>
    <row r="86" spans="1:30" s="73" customFormat="1" ht="23.25" customHeight="1">
      <c r="A86" s="278"/>
      <c r="B86" s="279" t="s">
        <v>517</v>
      </c>
      <c r="C86" s="280">
        <v>1</v>
      </c>
      <c r="D86" s="280">
        <v>1</v>
      </c>
      <c r="E86" s="280">
        <v>2</v>
      </c>
      <c r="F86" s="281">
        <v>0.8</v>
      </c>
      <c r="G86" s="282">
        <v>1.1499999999999999</v>
      </c>
      <c r="H86" s="282">
        <v>0.15</v>
      </c>
      <c r="I86" s="283">
        <f t="shared" si="2"/>
        <v>0.28000000000000003</v>
      </c>
      <c r="J86" s="284"/>
      <c r="K86" s="274"/>
      <c r="L86" s="274"/>
      <c r="M86" s="274"/>
      <c r="N86" s="74"/>
      <c r="O86" s="74"/>
      <c r="P86" s="74"/>
      <c r="Q86" s="74"/>
      <c r="R86" s="74"/>
      <c r="S86" s="74"/>
      <c r="T86" s="74"/>
      <c r="U86" s="74"/>
      <c r="V86" s="74"/>
      <c r="W86" s="74"/>
      <c r="X86" s="74"/>
      <c r="Y86" s="74"/>
      <c r="Z86" s="74"/>
      <c r="AA86" s="74"/>
      <c r="AB86" s="74"/>
      <c r="AC86" s="74"/>
      <c r="AD86" s="74"/>
    </row>
    <row r="87" spans="1:30" s="73" customFormat="1" ht="23.25" customHeight="1">
      <c r="A87" s="278"/>
      <c r="B87" s="279" t="s">
        <v>516</v>
      </c>
      <c r="C87" s="280">
        <v>1</v>
      </c>
      <c r="D87" s="280">
        <v>1</v>
      </c>
      <c r="E87" s="280">
        <v>2</v>
      </c>
      <c r="F87" s="281">
        <v>1.6850000000000001</v>
      </c>
      <c r="G87" s="282">
        <v>1.1499999999999999</v>
      </c>
      <c r="H87" s="282">
        <v>0.15</v>
      </c>
      <c r="I87" s="283">
        <f t="shared" si="2"/>
        <v>0.57999999999999996</v>
      </c>
      <c r="J87" s="284"/>
      <c r="K87" s="274"/>
      <c r="L87" s="274"/>
      <c r="M87" s="274"/>
      <c r="N87" s="74"/>
      <c r="O87" s="74"/>
      <c r="P87" s="74"/>
      <c r="Q87" s="74"/>
      <c r="R87" s="74"/>
      <c r="S87" s="74"/>
      <c r="T87" s="74"/>
      <c r="U87" s="74"/>
      <c r="V87" s="74"/>
      <c r="W87" s="74"/>
      <c r="X87" s="74"/>
      <c r="Y87" s="74"/>
      <c r="Z87" s="74"/>
      <c r="AA87" s="74"/>
      <c r="AB87" s="74"/>
      <c r="AC87" s="74"/>
      <c r="AD87" s="74"/>
    </row>
    <row r="88" spans="1:30" s="73" customFormat="1" ht="23.25" customHeight="1">
      <c r="A88" s="278"/>
      <c r="B88" s="279" t="s">
        <v>537</v>
      </c>
      <c r="C88" s="280">
        <v>1</v>
      </c>
      <c r="D88" s="280">
        <v>1</v>
      </c>
      <c r="E88" s="280">
        <v>3</v>
      </c>
      <c r="F88" s="281">
        <v>2.5499999999999998</v>
      </c>
      <c r="G88" s="282">
        <v>2.85</v>
      </c>
      <c r="H88" s="282">
        <v>0.15</v>
      </c>
      <c r="I88" s="283">
        <f t="shared" si="2"/>
        <v>3.27</v>
      </c>
      <c r="J88" s="284"/>
      <c r="K88" s="274"/>
      <c r="L88" s="274"/>
      <c r="M88" s="274"/>
      <c r="N88" s="74"/>
      <c r="O88" s="74"/>
      <c r="P88" s="74"/>
      <c r="Q88" s="74"/>
      <c r="R88" s="74"/>
      <c r="S88" s="74"/>
      <c r="T88" s="74"/>
      <c r="U88" s="74"/>
      <c r="V88" s="74"/>
      <c r="W88" s="74"/>
      <c r="X88" s="74"/>
      <c r="Y88" s="74"/>
      <c r="Z88" s="74"/>
      <c r="AA88" s="74"/>
      <c r="AB88" s="74"/>
      <c r="AC88" s="74"/>
      <c r="AD88" s="74"/>
    </row>
    <row r="89" spans="1:30" s="108" customFormat="1" ht="23.25" customHeight="1">
      <c r="A89" s="294"/>
      <c r="B89" s="293" t="s">
        <v>305</v>
      </c>
      <c r="C89" s="280">
        <v>1</v>
      </c>
      <c r="D89" s="307">
        <v>1</v>
      </c>
      <c r="E89" s="307">
        <v>1</v>
      </c>
      <c r="F89" s="308">
        <v>0.86</v>
      </c>
      <c r="G89" s="317">
        <v>0.93500000000000005</v>
      </c>
      <c r="H89" s="282">
        <v>0.15</v>
      </c>
      <c r="I89" s="283">
        <f t="shared" si="2"/>
        <v>0.12</v>
      </c>
      <c r="J89" s="294"/>
      <c r="K89" s="111"/>
      <c r="L89" s="111"/>
      <c r="M89" s="111"/>
    </row>
    <row r="90" spans="1:30" s="108" customFormat="1" ht="23.25" customHeight="1">
      <c r="A90" s="294"/>
      <c r="B90" s="293" t="s">
        <v>305</v>
      </c>
      <c r="C90" s="280">
        <v>1</v>
      </c>
      <c r="D90" s="307">
        <v>1</v>
      </c>
      <c r="E90" s="307">
        <v>1</v>
      </c>
      <c r="F90" s="308">
        <v>0.79</v>
      </c>
      <c r="G90" s="317">
        <v>0.93500000000000005</v>
      </c>
      <c r="H90" s="282">
        <v>0.15</v>
      </c>
      <c r="I90" s="283">
        <f t="shared" si="2"/>
        <v>0.11</v>
      </c>
      <c r="J90" s="294"/>
      <c r="K90" s="111"/>
      <c r="L90" s="111"/>
      <c r="M90" s="111"/>
      <c r="N90" s="108">
        <f>1.02+0.695</f>
        <v>1.7150000000000001</v>
      </c>
      <c r="O90" s="108">
        <f>N90/2</f>
        <v>0.85750000000000004</v>
      </c>
    </row>
    <row r="91" spans="1:30" s="2" customFormat="1" ht="23.25" customHeight="1">
      <c r="A91" s="278"/>
      <c r="B91" s="279" t="s">
        <v>536</v>
      </c>
      <c r="C91" s="280">
        <v>1</v>
      </c>
      <c r="D91" s="280">
        <v>1</v>
      </c>
      <c r="E91" s="280">
        <v>4</v>
      </c>
      <c r="F91" s="282">
        <v>1.43</v>
      </c>
      <c r="G91" s="282">
        <v>2.9</v>
      </c>
      <c r="H91" s="282">
        <v>0.15</v>
      </c>
      <c r="I91" s="283">
        <f t="shared" si="2"/>
        <v>2.4900000000000002</v>
      </c>
      <c r="J91" s="284"/>
      <c r="K91" s="43"/>
      <c r="L91" s="43"/>
      <c r="M91" s="43"/>
      <c r="N91" s="9"/>
      <c r="O91" s="9"/>
      <c r="P91" s="9"/>
      <c r="Q91" s="9"/>
      <c r="R91" s="9"/>
      <c r="S91" s="9"/>
      <c r="T91" s="9"/>
      <c r="U91" s="9"/>
      <c r="V91" s="9"/>
      <c r="W91" s="9"/>
      <c r="X91" s="9"/>
      <c r="Y91" s="9"/>
      <c r="Z91" s="9"/>
      <c r="AA91" s="9"/>
      <c r="AB91" s="9"/>
      <c r="AC91" s="9"/>
      <c r="AD91" s="9"/>
    </row>
    <row r="92" spans="1:30" s="2" customFormat="1" ht="23.25" customHeight="1">
      <c r="A92" s="278"/>
      <c r="B92" s="279" t="s">
        <v>535</v>
      </c>
      <c r="C92" s="280">
        <v>1</v>
      </c>
      <c r="D92" s="280">
        <v>1</v>
      </c>
      <c r="E92" s="280">
        <v>1</v>
      </c>
      <c r="F92" s="282">
        <v>5.81</v>
      </c>
      <c r="G92" s="282">
        <v>1.55</v>
      </c>
      <c r="H92" s="282">
        <v>0.15</v>
      </c>
      <c r="I92" s="283">
        <f t="shared" si="2"/>
        <v>1.35</v>
      </c>
      <c r="J92" s="284"/>
      <c r="K92" s="43"/>
      <c r="L92" s="43"/>
      <c r="M92" s="43"/>
      <c r="N92" s="9">
        <f>6.53+5.089</f>
        <v>11.62</v>
      </c>
      <c r="O92" s="9">
        <f>N92/2</f>
        <v>5.81</v>
      </c>
      <c r="P92" s="9"/>
      <c r="Q92" s="9"/>
      <c r="R92" s="9"/>
      <c r="S92" s="9"/>
      <c r="T92" s="9"/>
      <c r="U92" s="9"/>
      <c r="V92" s="9"/>
      <c r="W92" s="9"/>
      <c r="X92" s="9"/>
      <c r="Y92" s="9"/>
      <c r="Z92" s="9"/>
      <c r="AA92" s="9"/>
      <c r="AB92" s="9"/>
      <c r="AC92" s="9"/>
      <c r="AD92" s="9"/>
    </row>
    <row r="93" spans="1:30" s="2" customFormat="1" ht="23.25" customHeight="1">
      <c r="A93" s="278"/>
      <c r="B93" s="279" t="s">
        <v>535</v>
      </c>
      <c r="C93" s="280">
        <v>1</v>
      </c>
      <c r="D93" s="280">
        <v>1</v>
      </c>
      <c r="E93" s="280">
        <v>3</v>
      </c>
      <c r="F93" s="281">
        <v>1.41</v>
      </c>
      <c r="G93" s="281">
        <v>6.09</v>
      </c>
      <c r="H93" s="282">
        <v>0.15</v>
      </c>
      <c r="I93" s="283">
        <f t="shared" si="2"/>
        <v>3.86</v>
      </c>
      <c r="J93" s="284"/>
      <c r="K93" s="43"/>
      <c r="L93" s="43"/>
      <c r="M93" s="43"/>
      <c r="N93" s="9">
        <f>6.53+5.639</f>
        <v>12.17</v>
      </c>
      <c r="O93" s="9">
        <f>N93/2</f>
        <v>6.09</v>
      </c>
      <c r="P93" s="9">
        <f>0.589+1.878+1.75</f>
        <v>4.22</v>
      </c>
      <c r="Q93" s="9">
        <f>P93/3</f>
        <v>1.41</v>
      </c>
      <c r="R93" s="9"/>
      <c r="S93" s="9"/>
      <c r="T93" s="9"/>
      <c r="U93" s="9"/>
      <c r="V93" s="9"/>
      <c r="W93" s="9"/>
      <c r="X93" s="9"/>
      <c r="Y93" s="9"/>
      <c r="Z93" s="9"/>
      <c r="AA93" s="9"/>
      <c r="AB93" s="9"/>
      <c r="AC93" s="9"/>
      <c r="AD93" s="9"/>
    </row>
    <row r="94" spans="1:30" s="2" customFormat="1" ht="23.25" customHeight="1">
      <c r="A94" s="278"/>
      <c r="B94" s="279"/>
      <c r="C94" s="280"/>
      <c r="D94" s="280"/>
      <c r="E94" s="280"/>
      <c r="F94" s="282"/>
      <c r="G94" s="282"/>
      <c r="H94" s="282" t="s">
        <v>60</v>
      </c>
      <c r="I94" s="283">
        <f>SUM(I62:I93)</f>
        <v>152.28</v>
      </c>
      <c r="J94" s="343" t="s">
        <v>21</v>
      </c>
      <c r="K94" s="44"/>
      <c r="L94" s="44"/>
      <c r="M94" s="44"/>
      <c r="N94" s="9"/>
      <c r="O94" s="9"/>
      <c r="P94" s="9"/>
      <c r="Q94" s="9"/>
      <c r="R94" s="9"/>
      <c r="S94" s="9"/>
      <c r="T94" s="9"/>
      <c r="U94" s="9"/>
      <c r="V94" s="9"/>
      <c r="W94" s="9"/>
      <c r="X94" s="9"/>
      <c r="Y94" s="9"/>
      <c r="Z94" s="9"/>
      <c r="AA94" s="9"/>
      <c r="AB94" s="9"/>
      <c r="AC94" s="9"/>
      <c r="AD94" s="9"/>
    </row>
    <row r="95" spans="1:30" s="2" customFormat="1" ht="23.25" customHeight="1">
      <c r="A95" s="278"/>
      <c r="B95" s="279"/>
      <c r="C95" s="280"/>
      <c r="D95" s="280"/>
      <c r="E95" s="280"/>
      <c r="F95" s="282"/>
      <c r="G95" s="282"/>
      <c r="H95" s="415" t="s">
        <v>55</v>
      </c>
      <c r="I95" s="416">
        <f>ROUNDUP(I94,0)</f>
        <v>153</v>
      </c>
      <c r="J95" s="343" t="s">
        <v>21</v>
      </c>
      <c r="K95" s="44"/>
      <c r="L95" s="44"/>
      <c r="M95" s="44"/>
      <c r="N95" s="9"/>
      <c r="O95" s="9"/>
      <c r="P95" s="9"/>
      <c r="Q95" s="9"/>
      <c r="R95" s="9"/>
      <c r="S95" s="9"/>
      <c r="T95" s="9"/>
      <c r="U95" s="9"/>
      <c r="V95" s="9"/>
      <c r="W95" s="9"/>
      <c r="X95" s="9"/>
      <c r="Y95" s="9"/>
      <c r="Z95" s="9"/>
      <c r="AA95" s="9"/>
      <c r="AB95" s="9"/>
      <c r="AC95" s="9"/>
      <c r="AD95" s="9"/>
    </row>
    <row r="96" spans="1:30" s="2" customFormat="1" ht="19.5" customHeight="1">
      <c r="A96" s="288">
        <v>3.2</v>
      </c>
      <c r="B96" s="286" t="s">
        <v>855</v>
      </c>
      <c r="C96" s="280"/>
      <c r="D96" s="280"/>
      <c r="E96" s="280"/>
      <c r="F96" s="282"/>
      <c r="G96" s="282"/>
      <c r="H96" s="415"/>
      <c r="I96" s="416"/>
      <c r="J96" s="284"/>
      <c r="K96" s="43"/>
      <c r="L96" s="43"/>
      <c r="M96" s="43"/>
      <c r="N96" s="9"/>
      <c r="O96" s="9"/>
      <c r="P96" s="9"/>
      <c r="Q96" s="9"/>
      <c r="R96" s="9"/>
      <c r="S96" s="9"/>
      <c r="T96" s="9"/>
      <c r="U96" s="9"/>
      <c r="V96" s="9"/>
      <c r="W96" s="9"/>
      <c r="X96" s="9"/>
      <c r="Y96" s="9"/>
      <c r="Z96" s="9"/>
      <c r="AA96" s="9"/>
      <c r="AB96" s="9"/>
      <c r="AC96" s="9"/>
      <c r="AD96" s="9"/>
    </row>
    <row r="97" spans="1:30" s="2" customFormat="1" ht="19.5" customHeight="1">
      <c r="A97" s="288"/>
      <c r="B97" s="286" t="s">
        <v>854</v>
      </c>
      <c r="C97" s="280"/>
      <c r="D97" s="280"/>
      <c r="E97" s="280"/>
      <c r="F97" s="282"/>
      <c r="G97" s="282"/>
      <c r="H97" s="415"/>
      <c r="I97" s="416"/>
      <c r="J97" s="284"/>
      <c r="K97" s="43"/>
      <c r="L97" s="43"/>
      <c r="M97" s="43"/>
      <c r="N97" s="9"/>
      <c r="O97" s="9"/>
      <c r="P97" s="9"/>
      <c r="Q97" s="9"/>
      <c r="R97" s="9"/>
      <c r="S97" s="9"/>
      <c r="T97" s="9"/>
      <c r="U97" s="9"/>
      <c r="V97" s="9"/>
      <c r="W97" s="9"/>
      <c r="X97" s="9"/>
      <c r="Y97" s="9"/>
      <c r="Z97" s="9"/>
      <c r="AA97" s="9"/>
      <c r="AB97" s="9"/>
      <c r="AC97" s="9"/>
      <c r="AD97" s="9"/>
    </row>
    <row r="98" spans="1:30" s="2" customFormat="1" ht="23.25" customHeight="1">
      <c r="A98" s="278"/>
      <c r="B98" s="279" t="s">
        <v>114</v>
      </c>
      <c r="C98" s="280">
        <v>1</v>
      </c>
      <c r="D98" s="280">
        <v>1</v>
      </c>
      <c r="E98" s="280">
        <v>1</v>
      </c>
      <c r="F98" s="281">
        <v>5.1849999999999996</v>
      </c>
      <c r="G98" s="281">
        <v>3.2349999999999999</v>
      </c>
      <c r="H98" s="281">
        <v>7.4999999999999997E-2</v>
      </c>
      <c r="I98" s="283">
        <f t="shared" ref="I98:I129" si="3">PRODUCT(C98:H98)</f>
        <v>1.26</v>
      </c>
      <c r="J98" s="284"/>
      <c r="K98" s="43"/>
      <c r="L98" s="43"/>
      <c r="M98" s="43"/>
      <c r="N98" s="9"/>
      <c r="O98" s="9"/>
      <c r="P98" s="9"/>
      <c r="Q98" s="9"/>
      <c r="R98" s="9"/>
      <c r="S98" s="9"/>
      <c r="T98" s="9"/>
      <c r="U98" s="9"/>
      <c r="V98" s="9"/>
      <c r="W98" s="9"/>
      <c r="X98" s="9"/>
      <c r="Y98" s="9"/>
      <c r="Z98" s="9"/>
      <c r="AA98" s="9"/>
      <c r="AB98" s="9"/>
      <c r="AC98" s="9"/>
      <c r="AD98" s="9"/>
    </row>
    <row r="99" spans="1:30" s="2" customFormat="1" ht="23.25" customHeight="1">
      <c r="A99" s="278"/>
      <c r="B99" s="279" t="s">
        <v>71</v>
      </c>
      <c r="C99" s="280">
        <v>1</v>
      </c>
      <c r="D99" s="280">
        <v>1</v>
      </c>
      <c r="E99" s="280">
        <v>1</v>
      </c>
      <c r="F99" s="281">
        <v>2.1</v>
      </c>
      <c r="G99" s="281">
        <v>1.3149999999999999</v>
      </c>
      <c r="H99" s="281">
        <v>7.4999999999999997E-2</v>
      </c>
      <c r="I99" s="283">
        <f t="shared" si="3"/>
        <v>0.21</v>
      </c>
      <c r="J99" s="284"/>
      <c r="K99" s="43"/>
      <c r="L99" s="43"/>
      <c r="M99" s="43"/>
      <c r="N99" s="9"/>
      <c r="O99" s="9"/>
      <c r="P99" s="9"/>
      <c r="Q99" s="9"/>
      <c r="R99" s="9"/>
      <c r="S99" s="9"/>
      <c r="T99" s="9"/>
      <c r="U99" s="9"/>
      <c r="V99" s="9"/>
      <c r="W99" s="9"/>
      <c r="X99" s="9"/>
      <c r="Y99" s="9"/>
      <c r="Z99" s="9"/>
      <c r="AA99" s="9"/>
      <c r="AB99" s="9"/>
      <c r="AC99" s="9"/>
      <c r="AD99" s="9"/>
    </row>
    <row r="100" spans="1:30" s="2" customFormat="1" ht="23.25" customHeight="1">
      <c r="A100" s="278"/>
      <c r="B100" s="279" t="s">
        <v>540</v>
      </c>
      <c r="C100" s="280">
        <v>1</v>
      </c>
      <c r="D100" s="280">
        <v>1</v>
      </c>
      <c r="E100" s="280">
        <v>1</v>
      </c>
      <c r="F100" s="281">
        <v>1.47</v>
      </c>
      <c r="G100" s="281">
        <v>1.2649999999999999</v>
      </c>
      <c r="H100" s="281">
        <v>7.4999999999999997E-2</v>
      </c>
      <c r="I100" s="283">
        <f t="shared" si="3"/>
        <v>0.14000000000000001</v>
      </c>
      <c r="J100" s="284"/>
      <c r="K100" s="43"/>
      <c r="L100" s="43"/>
      <c r="M100" s="43"/>
      <c r="N100" s="9"/>
      <c r="O100" s="9"/>
      <c r="P100" s="9"/>
      <c r="Q100" s="9"/>
      <c r="R100" s="9"/>
      <c r="S100" s="9"/>
      <c r="T100" s="9"/>
      <c r="U100" s="9"/>
      <c r="V100" s="9"/>
      <c r="W100" s="9"/>
      <c r="X100" s="9"/>
      <c r="Y100" s="9"/>
      <c r="Z100" s="9"/>
      <c r="AA100" s="9"/>
      <c r="AB100" s="9"/>
      <c r="AC100" s="9"/>
      <c r="AD100" s="9"/>
    </row>
    <row r="101" spans="1:30" s="2" customFormat="1" ht="23.25" customHeight="1">
      <c r="A101" s="278"/>
      <c r="B101" s="279" t="s">
        <v>308</v>
      </c>
      <c r="C101" s="280">
        <v>1</v>
      </c>
      <c r="D101" s="280">
        <v>1</v>
      </c>
      <c r="E101" s="280">
        <v>2</v>
      </c>
      <c r="F101" s="281">
        <v>5.1749999999999998</v>
      </c>
      <c r="G101" s="281">
        <v>3.165</v>
      </c>
      <c r="H101" s="281">
        <v>7.4999999999999997E-2</v>
      </c>
      <c r="I101" s="283">
        <f t="shared" si="3"/>
        <v>2.46</v>
      </c>
      <c r="J101" s="284"/>
      <c r="K101" s="43"/>
      <c r="L101" s="43"/>
      <c r="M101" s="43"/>
      <c r="N101" s="9"/>
      <c r="O101" s="9"/>
      <c r="P101" s="9"/>
      <c r="Q101" s="9"/>
      <c r="R101" s="9"/>
      <c r="S101" s="9"/>
      <c r="T101" s="9"/>
      <c r="U101" s="9"/>
      <c r="V101" s="9"/>
      <c r="W101" s="9"/>
      <c r="X101" s="9"/>
      <c r="Y101" s="9"/>
      <c r="Z101" s="9"/>
      <c r="AA101" s="9"/>
      <c r="AB101" s="9"/>
      <c r="AC101" s="9"/>
      <c r="AD101" s="9"/>
    </row>
    <row r="102" spans="1:30" s="2" customFormat="1" ht="23.25" customHeight="1">
      <c r="A102" s="278"/>
      <c r="B102" s="279" t="s">
        <v>308</v>
      </c>
      <c r="C102" s="280">
        <v>1</v>
      </c>
      <c r="D102" s="280">
        <v>1</v>
      </c>
      <c r="E102" s="280">
        <v>2</v>
      </c>
      <c r="F102" s="281">
        <v>3.3849999999999998</v>
      </c>
      <c r="G102" s="282">
        <v>4</v>
      </c>
      <c r="H102" s="281">
        <v>7.4999999999999997E-2</v>
      </c>
      <c r="I102" s="283">
        <f t="shared" si="3"/>
        <v>2.0299999999999998</v>
      </c>
      <c r="J102" s="284"/>
      <c r="K102" s="43"/>
      <c r="L102" s="43"/>
      <c r="M102" s="43"/>
      <c r="N102" s="9"/>
      <c r="O102" s="9"/>
      <c r="P102" s="9"/>
      <c r="Q102" s="9"/>
      <c r="R102" s="9"/>
      <c r="S102" s="9"/>
      <c r="T102" s="9"/>
      <c r="U102" s="9"/>
      <c r="V102" s="9"/>
      <c r="W102" s="9"/>
      <c r="X102" s="9"/>
      <c r="Y102" s="9"/>
      <c r="Z102" s="9"/>
      <c r="AA102" s="9"/>
      <c r="AB102" s="9"/>
      <c r="AC102" s="9"/>
      <c r="AD102" s="9"/>
    </row>
    <row r="103" spans="1:30" s="2" customFormat="1" ht="23.25" customHeight="1">
      <c r="A103" s="278"/>
      <c r="B103" s="279" t="s">
        <v>308</v>
      </c>
      <c r="C103" s="280">
        <v>1</v>
      </c>
      <c r="D103" s="280">
        <v>1</v>
      </c>
      <c r="E103" s="280">
        <v>2</v>
      </c>
      <c r="F103" s="281">
        <v>1.43</v>
      </c>
      <c r="G103" s="282">
        <v>2.17</v>
      </c>
      <c r="H103" s="281">
        <v>7.4999999999999997E-2</v>
      </c>
      <c r="I103" s="283">
        <f t="shared" si="3"/>
        <v>0.47</v>
      </c>
      <c r="J103" s="284"/>
      <c r="K103" s="43"/>
      <c r="L103" s="43"/>
      <c r="M103" s="43"/>
      <c r="N103" s="9"/>
      <c r="O103" s="9"/>
      <c r="P103" s="9"/>
      <c r="Q103" s="9"/>
      <c r="R103" s="9"/>
      <c r="S103" s="9"/>
      <c r="T103" s="9"/>
      <c r="U103" s="9"/>
      <c r="V103" s="9"/>
      <c r="W103" s="9"/>
      <c r="X103" s="9"/>
      <c r="Y103" s="9"/>
      <c r="Z103" s="9"/>
      <c r="AA103" s="9"/>
      <c r="AB103" s="9"/>
      <c r="AC103" s="9"/>
      <c r="AD103" s="9"/>
    </row>
    <row r="104" spans="1:30" s="2" customFormat="1" ht="23.25" customHeight="1">
      <c r="A104" s="278"/>
      <c r="B104" s="279" t="s">
        <v>889</v>
      </c>
      <c r="C104" s="280">
        <v>1</v>
      </c>
      <c r="D104" s="280">
        <v>1</v>
      </c>
      <c r="E104" s="280">
        <v>2</v>
      </c>
      <c r="F104" s="281">
        <v>14.16</v>
      </c>
      <c r="G104" s="281">
        <v>8.8949999999999996</v>
      </c>
      <c r="H104" s="281">
        <v>7.4999999999999997E-2</v>
      </c>
      <c r="I104" s="283">
        <f t="shared" si="3"/>
        <v>18.89</v>
      </c>
      <c r="J104" s="284"/>
      <c r="K104" s="43"/>
      <c r="L104" s="43"/>
      <c r="M104" s="43"/>
      <c r="N104" s="9"/>
      <c r="O104" s="9"/>
      <c r="P104" s="9"/>
      <c r="Q104" s="9"/>
      <c r="R104" s="9"/>
      <c r="S104" s="9"/>
      <c r="T104" s="9"/>
      <c r="U104" s="9"/>
      <c r="V104" s="9"/>
      <c r="W104" s="9"/>
      <c r="X104" s="9"/>
      <c r="Y104" s="9"/>
      <c r="Z104" s="9"/>
      <c r="AA104" s="9"/>
      <c r="AB104" s="9"/>
      <c r="AC104" s="9"/>
      <c r="AD104" s="9"/>
    </row>
    <row r="105" spans="1:30" s="2" customFormat="1" ht="23.25" customHeight="1">
      <c r="A105" s="278"/>
      <c r="B105" s="279" t="s">
        <v>890</v>
      </c>
      <c r="C105" s="280">
        <v>1</v>
      </c>
      <c r="D105" s="280">
        <v>1</v>
      </c>
      <c r="E105" s="280">
        <v>3</v>
      </c>
      <c r="F105" s="281">
        <v>6.9649999999999999</v>
      </c>
      <c r="G105" s="281">
        <v>8.8949999999999996</v>
      </c>
      <c r="H105" s="281">
        <v>7.4999999999999997E-2</v>
      </c>
      <c r="I105" s="283">
        <f t="shared" si="3"/>
        <v>13.94</v>
      </c>
      <c r="J105" s="284"/>
      <c r="K105" s="43"/>
      <c r="L105" s="43"/>
      <c r="M105" s="43"/>
      <c r="N105" s="9"/>
      <c r="O105" s="9"/>
      <c r="P105" s="9"/>
      <c r="Q105" s="9"/>
      <c r="R105" s="9"/>
      <c r="S105" s="9"/>
      <c r="T105" s="9"/>
      <c r="U105" s="9"/>
      <c r="V105" s="9"/>
      <c r="W105" s="9"/>
      <c r="X105" s="9"/>
      <c r="Y105" s="9"/>
      <c r="Z105" s="9"/>
      <c r="AA105" s="9"/>
      <c r="AB105" s="9"/>
      <c r="AC105" s="9"/>
      <c r="AD105" s="9"/>
    </row>
    <row r="106" spans="1:30" s="2" customFormat="1" ht="23.25" customHeight="1">
      <c r="A106" s="278"/>
      <c r="B106" s="279" t="s">
        <v>890</v>
      </c>
      <c r="C106" s="280">
        <v>1</v>
      </c>
      <c r="D106" s="280">
        <v>1</v>
      </c>
      <c r="E106" s="280">
        <v>3</v>
      </c>
      <c r="F106" s="281">
        <v>3.35</v>
      </c>
      <c r="G106" s="281">
        <v>5.43</v>
      </c>
      <c r="H106" s="281">
        <v>7.4999999999999997E-2</v>
      </c>
      <c r="I106" s="283">
        <f t="shared" si="3"/>
        <v>4.09</v>
      </c>
      <c r="J106" s="284"/>
      <c r="K106" s="43"/>
      <c r="L106" s="43"/>
      <c r="M106" s="43"/>
      <c r="N106" s="9"/>
      <c r="O106" s="9"/>
      <c r="P106" s="9"/>
      <c r="Q106" s="9"/>
      <c r="R106" s="9"/>
      <c r="S106" s="9"/>
      <c r="T106" s="9"/>
      <c r="U106" s="9"/>
      <c r="V106" s="9"/>
      <c r="W106" s="9"/>
      <c r="X106" s="9"/>
      <c r="Y106" s="9"/>
      <c r="Z106" s="9"/>
      <c r="AA106" s="9"/>
      <c r="AB106" s="9"/>
      <c r="AC106" s="9"/>
      <c r="AD106" s="9"/>
    </row>
    <row r="107" spans="1:30" s="2" customFormat="1" ht="23.25" customHeight="1">
      <c r="A107" s="278"/>
      <c r="B107" s="279" t="s">
        <v>890</v>
      </c>
      <c r="C107" s="280">
        <v>1</v>
      </c>
      <c r="D107" s="280">
        <v>1</v>
      </c>
      <c r="E107" s="280">
        <v>3</v>
      </c>
      <c r="F107" s="281">
        <v>1.55</v>
      </c>
      <c r="G107" s="281">
        <v>3.2349999999999999</v>
      </c>
      <c r="H107" s="281">
        <v>7.4999999999999997E-2</v>
      </c>
      <c r="I107" s="283">
        <f t="shared" si="3"/>
        <v>1.1299999999999999</v>
      </c>
      <c r="J107" s="284"/>
      <c r="K107" s="43"/>
      <c r="L107" s="43"/>
      <c r="M107" s="43"/>
      <c r="N107" s="9"/>
      <c r="O107" s="9"/>
      <c r="P107" s="9"/>
      <c r="Q107" s="9"/>
      <c r="R107" s="9"/>
      <c r="S107" s="9"/>
      <c r="T107" s="9"/>
      <c r="U107" s="9"/>
      <c r="V107" s="9"/>
      <c r="W107" s="9"/>
      <c r="X107" s="9"/>
      <c r="Y107" s="9"/>
      <c r="Z107" s="9"/>
      <c r="AA107" s="9"/>
      <c r="AB107" s="9"/>
      <c r="AC107" s="9"/>
      <c r="AD107" s="9"/>
    </row>
    <row r="108" spans="1:30" s="2" customFormat="1" ht="23.25" customHeight="1">
      <c r="A108" s="278"/>
      <c r="B108" s="279" t="s">
        <v>891</v>
      </c>
      <c r="C108" s="280">
        <v>1</v>
      </c>
      <c r="D108" s="280">
        <v>1</v>
      </c>
      <c r="E108" s="280">
        <v>2</v>
      </c>
      <c r="F108" s="281">
        <v>2.85</v>
      </c>
      <c r="G108" s="281">
        <v>4.2</v>
      </c>
      <c r="H108" s="281">
        <v>7.4999999999999997E-2</v>
      </c>
      <c r="I108" s="283">
        <f t="shared" si="3"/>
        <v>1.8</v>
      </c>
      <c r="J108" s="284"/>
      <c r="K108" s="43"/>
      <c r="L108" s="43"/>
      <c r="M108" s="43"/>
      <c r="N108" s="9"/>
      <c r="O108" s="9"/>
      <c r="P108" s="9"/>
      <c r="Q108" s="9"/>
      <c r="R108" s="9"/>
      <c r="S108" s="9"/>
      <c r="T108" s="9"/>
      <c r="U108" s="9"/>
      <c r="V108" s="9"/>
      <c r="W108" s="9"/>
      <c r="X108" s="9"/>
      <c r="Y108" s="9"/>
      <c r="Z108" s="9"/>
      <c r="AA108" s="9"/>
      <c r="AB108" s="9"/>
      <c r="AC108" s="9"/>
      <c r="AD108" s="9"/>
    </row>
    <row r="109" spans="1:30" s="2" customFormat="1" ht="23.25" customHeight="1">
      <c r="A109" s="278"/>
      <c r="B109" s="279" t="s">
        <v>892</v>
      </c>
      <c r="C109" s="280">
        <v>1</v>
      </c>
      <c r="D109" s="280">
        <v>1</v>
      </c>
      <c r="E109" s="280">
        <v>2</v>
      </c>
      <c r="F109" s="281">
        <v>2.85</v>
      </c>
      <c r="G109" s="281">
        <v>1.2</v>
      </c>
      <c r="H109" s="281">
        <v>7.4999999999999997E-2</v>
      </c>
      <c r="I109" s="283">
        <f t="shared" si="3"/>
        <v>0.51</v>
      </c>
      <c r="J109" s="284"/>
      <c r="K109" s="43"/>
      <c r="L109" s="43"/>
      <c r="M109" s="43"/>
      <c r="N109" s="9"/>
      <c r="O109" s="9"/>
      <c r="P109" s="9"/>
      <c r="Q109" s="9"/>
      <c r="R109" s="9"/>
      <c r="S109" s="9"/>
      <c r="T109" s="9"/>
      <c r="U109" s="9"/>
      <c r="V109" s="9"/>
      <c r="W109" s="9"/>
      <c r="X109" s="9"/>
      <c r="Y109" s="9"/>
      <c r="Z109" s="9"/>
      <c r="AA109" s="9"/>
      <c r="AB109" s="9"/>
      <c r="AC109" s="9"/>
      <c r="AD109" s="9"/>
    </row>
    <row r="110" spans="1:30" s="2" customFormat="1" ht="23.25" customHeight="1">
      <c r="A110" s="278"/>
      <c r="B110" s="279" t="s">
        <v>893</v>
      </c>
      <c r="C110" s="280">
        <v>1</v>
      </c>
      <c r="D110" s="280">
        <v>1</v>
      </c>
      <c r="E110" s="280">
        <v>2</v>
      </c>
      <c r="F110" s="281">
        <v>1.8</v>
      </c>
      <c r="G110" s="281">
        <v>2.0289999999999999</v>
      </c>
      <c r="H110" s="281">
        <v>7.4999999999999997E-2</v>
      </c>
      <c r="I110" s="283">
        <f t="shared" si="3"/>
        <v>0.55000000000000004</v>
      </c>
      <c r="J110" s="284"/>
      <c r="K110" s="43"/>
      <c r="L110" s="43"/>
      <c r="M110" s="43"/>
      <c r="N110" s="9"/>
      <c r="O110" s="9"/>
      <c r="P110" s="9"/>
      <c r="Q110" s="9"/>
      <c r="R110" s="9"/>
      <c r="S110" s="9"/>
      <c r="T110" s="9"/>
      <c r="U110" s="9"/>
      <c r="V110" s="9"/>
      <c r="W110" s="9"/>
      <c r="X110" s="9"/>
      <c r="Y110" s="9"/>
      <c r="Z110" s="9"/>
      <c r="AA110" s="9"/>
      <c r="AB110" s="9"/>
      <c r="AC110" s="9"/>
      <c r="AD110" s="9"/>
    </row>
    <row r="111" spans="1:30" s="2" customFormat="1" ht="23.25" customHeight="1">
      <c r="A111" s="278"/>
      <c r="B111" s="279" t="s">
        <v>539</v>
      </c>
      <c r="C111" s="280">
        <v>1</v>
      </c>
      <c r="D111" s="280">
        <v>1</v>
      </c>
      <c r="E111" s="280">
        <v>2</v>
      </c>
      <c r="F111" s="281">
        <v>1.9</v>
      </c>
      <c r="G111" s="281">
        <v>3.1</v>
      </c>
      <c r="H111" s="281">
        <v>7.4999999999999997E-2</v>
      </c>
      <c r="I111" s="283">
        <f t="shared" si="3"/>
        <v>0.88</v>
      </c>
      <c r="J111" s="284"/>
      <c r="K111" s="43"/>
      <c r="L111" s="43"/>
      <c r="M111" s="43"/>
      <c r="N111" s="9"/>
      <c r="O111" s="9"/>
      <c r="P111" s="9"/>
      <c r="Q111" s="9"/>
      <c r="R111" s="9"/>
      <c r="S111" s="9"/>
      <c r="T111" s="9"/>
      <c r="U111" s="9"/>
      <c r="V111" s="9"/>
      <c r="W111" s="9"/>
      <c r="X111" s="9"/>
      <c r="Y111" s="9"/>
      <c r="Z111" s="9"/>
      <c r="AA111" s="9"/>
      <c r="AB111" s="9"/>
      <c r="AC111" s="9"/>
      <c r="AD111" s="9"/>
    </row>
    <row r="112" spans="1:30" s="2" customFormat="1" ht="23.25" customHeight="1">
      <c r="A112" s="278"/>
      <c r="B112" s="279" t="s">
        <v>894</v>
      </c>
      <c r="C112" s="280">
        <v>2</v>
      </c>
      <c r="D112" s="280">
        <v>1</v>
      </c>
      <c r="E112" s="280">
        <v>1</v>
      </c>
      <c r="F112" s="281">
        <v>1.9</v>
      </c>
      <c r="G112" s="281">
        <v>1.5</v>
      </c>
      <c r="H112" s="281">
        <v>7.4999999999999997E-2</v>
      </c>
      <c r="I112" s="283">
        <f t="shared" si="3"/>
        <v>0.43</v>
      </c>
      <c r="J112" s="284"/>
      <c r="K112" s="43"/>
      <c r="L112" s="43"/>
      <c r="M112" s="43"/>
      <c r="N112" s="9"/>
      <c r="O112" s="9"/>
      <c r="P112" s="9"/>
      <c r="Q112" s="9"/>
      <c r="R112" s="9"/>
      <c r="S112" s="9"/>
      <c r="T112" s="9"/>
      <c r="U112" s="9"/>
      <c r="V112" s="9"/>
      <c r="W112" s="9"/>
      <c r="X112" s="9"/>
      <c r="Y112" s="9"/>
      <c r="Z112" s="9"/>
      <c r="AA112" s="9"/>
      <c r="AB112" s="9"/>
      <c r="AC112" s="9"/>
      <c r="AD112" s="9"/>
    </row>
    <row r="113" spans="1:30" s="2" customFormat="1" ht="23.25" customHeight="1">
      <c r="A113" s="278"/>
      <c r="B113" s="279" t="s">
        <v>895</v>
      </c>
      <c r="C113" s="280">
        <v>1</v>
      </c>
      <c r="D113" s="280">
        <v>1</v>
      </c>
      <c r="E113" s="280">
        <v>1</v>
      </c>
      <c r="F113" s="281">
        <v>4.9850000000000003</v>
      </c>
      <c r="G113" s="281">
        <v>6.06</v>
      </c>
      <c r="H113" s="281">
        <v>7.4999999999999997E-2</v>
      </c>
      <c r="I113" s="283">
        <f t="shared" si="3"/>
        <v>2.27</v>
      </c>
      <c r="J113" s="284"/>
      <c r="K113" s="43"/>
      <c r="L113" s="43"/>
      <c r="M113" s="43"/>
      <c r="N113" s="9"/>
      <c r="O113" s="9"/>
      <c r="P113" s="9"/>
      <c r="Q113" s="9"/>
      <c r="R113" s="9"/>
      <c r="S113" s="9"/>
      <c r="T113" s="9"/>
      <c r="U113" s="9"/>
      <c r="V113" s="9"/>
      <c r="W113" s="9"/>
      <c r="X113" s="9"/>
      <c r="Y113" s="9"/>
      <c r="Z113" s="9"/>
      <c r="AA113" s="9"/>
      <c r="AB113" s="9"/>
      <c r="AC113" s="9"/>
      <c r="AD113" s="9"/>
    </row>
    <row r="114" spans="1:30" s="2" customFormat="1" ht="23.25" customHeight="1">
      <c r="A114" s="278"/>
      <c r="B114" s="279" t="s">
        <v>896</v>
      </c>
      <c r="C114" s="280">
        <v>2</v>
      </c>
      <c r="D114" s="280">
        <v>1</v>
      </c>
      <c r="E114" s="280">
        <v>3</v>
      </c>
      <c r="F114" s="281">
        <v>4.83</v>
      </c>
      <c r="G114" s="281">
        <v>1.9</v>
      </c>
      <c r="H114" s="281">
        <v>7.4999999999999997E-2</v>
      </c>
      <c r="I114" s="283">
        <f t="shared" si="3"/>
        <v>4.13</v>
      </c>
      <c r="J114" s="284"/>
      <c r="K114" s="43"/>
      <c r="L114" s="43"/>
      <c r="M114" s="43"/>
      <c r="N114" s="9"/>
      <c r="O114" s="9"/>
      <c r="P114" s="9"/>
      <c r="Q114" s="9"/>
      <c r="R114" s="9"/>
      <c r="S114" s="9"/>
      <c r="T114" s="9"/>
      <c r="U114" s="9"/>
      <c r="V114" s="9"/>
      <c r="W114" s="9"/>
      <c r="X114" s="9"/>
      <c r="Y114" s="9"/>
      <c r="Z114" s="9"/>
      <c r="AA114" s="9"/>
      <c r="AB114" s="9"/>
      <c r="AC114" s="9"/>
      <c r="AD114" s="9"/>
    </row>
    <row r="115" spans="1:30" s="2" customFormat="1" ht="23.25" customHeight="1">
      <c r="A115" s="278"/>
      <c r="B115" s="279" t="s">
        <v>144</v>
      </c>
      <c r="C115" s="280">
        <v>1</v>
      </c>
      <c r="D115" s="280">
        <v>1</v>
      </c>
      <c r="E115" s="280">
        <v>1</v>
      </c>
      <c r="F115" s="281">
        <v>27.164999999999999</v>
      </c>
      <c r="G115" s="281">
        <v>1.8</v>
      </c>
      <c r="H115" s="281">
        <v>7.4999999999999997E-2</v>
      </c>
      <c r="I115" s="283">
        <f t="shared" si="3"/>
        <v>3.67</v>
      </c>
      <c r="J115" s="284"/>
      <c r="K115" s="43"/>
      <c r="L115" s="43"/>
      <c r="M115" s="43"/>
      <c r="N115" s="9"/>
      <c r="O115" s="9"/>
      <c r="P115" s="9"/>
      <c r="Q115" s="9"/>
      <c r="R115" s="9"/>
      <c r="S115" s="9"/>
      <c r="T115" s="9"/>
      <c r="U115" s="9"/>
      <c r="V115" s="9"/>
      <c r="W115" s="9"/>
      <c r="X115" s="9"/>
      <c r="Y115" s="9"/>
      <c r="Z115" s="9"/>
      <c r="AA115" s="9"/>
      <c r="AB115" s="9"/>
      <c r="AC115" s="9"/>
      <c r="AD115" s="9"/>
    </row>
    <row r="116" spans="1:30" s="2" customFormat="1" ht="23.25" customHeight="1">
      <c r="A116" s="278"/>
      <c r="B116" s="279" t="s">
        <v>895</v>
      </c>
      <c r="C116" s="280">
        <v>1</v>
      </c>
      <c r="D116" s="280">
        <v>1</v>
      </c>
      <c r="E116" s="280">
        <v>1</v>
      </c>
      <c r="F116" s="281">
        <v>2.1</v>
      </c>
      <c r="G116" s="281">
        <v>1.9</v>
      </c>
      <c r="H116" s="281">
        <v>7.4999999999999997E-2</v>
      </c>
      <c r="I116" s="283">
        <f t="shared" si="3"/>
        <v>0.3</v>
      </c>
      <c r="J116" s="284"/>
      <c r="K116" s="43"/>
      <c r="L116" s="43"/>
      <c r="M116" s="43"/>
      <c r="N116" s="9"/>
      <c r="O116" s="9"/>
      <c r="P116" s="9"/>
      <c r="Q116" s="9"/>
      <c r="R116" s="9"/>
      <c r="S116" s="9"/>
      <c r="T116" s="9"/>
      <c r="U116" s="9"/>
      <c r="V116" s="9"/>
      <c r="W116" s="9"/>
      <c r="X116" s="9"/>
      <c r="Y116" s="9"/>
      <c r="Z116" s="9"/>
      <c r="AA116" s="9"/>
      <c r="AB116" s="9"/>
      <c r="AC116" s="9"/>
      <c r="AD116" s="9"/>
    </row>
    <row r="117" spans="1:30" s="2" customFormat="1" ht="23.25" customHeight="1">
      <c r="A117" s="278"/>
      <c r="B117" s="279" t="s">
        <v>539</v>
      </c>
      <c r="C117" s="280">
        <v>1</v>
      </c>
      <c r="D117" s="280">
        <v>1</v>
      </c>
      <c r="E117" s="280">
        <v>2</v>
      </c>
      <c r="F117" s="281">
        <v>4.2300000000000004</v>
      </c>
      <c r="G117" s="281">
        <v>1.9</v>
      </c>
      <c r="H117" s="281">
        <v>7.4999999999999997E-2</v>
      </c>
      <c r="I117" s="283">
        <f t="shared" si="3"/>
        <v>1.21</v>
      </c>
      <c r="J117" s="284"/>
      <c r="K117" s="43"/>
      <c r="L117" s="43"/>
      <c r="M117" s="43"/>
      <c r="N117" s="9"/>
      <c r="O117" s="9"/>
      <c r="P117" s="9"/>
      <c r="Q117" s="9"/>
      <c r="R117" s="9"/>
      <c r="S117" s="9"/>
      <c r="T117" s="9"/>
      <c r="U117" s="9"/>
      <c r="V117" s="9"/>
      <c r="W117" s="9"/>
      <c r="X117" s="9"/>
      <c r="Y117" s="9"/>
      <c r="Z117" s="9"/>
      <c r="AA117" s="9"/>
      <c r="AB117" s="9"/>
      <c r="AC117" s="9"/>
      <c r="AD117" s="9"/>
    </row>
    <row r="118" spans="1:30" s="2" customFormat="1" ht="23.25" customHeight="1">
      <c r="A118" s="278"/>
      <c r="B118" s="279" t="s">
        <v>897</v>
      </c>
      <c r="C118" s="280">
        <v>1</v>
      </c>
      <c r="D118" s="280">
        <v>1</v>
      </c>
      <c r="E118" s="280">
        <v>1</v>
      </c>
      <c r="F118" s="281">
        <v>4.2</v>
      </c>
      <c r="G118" s="281">
        <v>3.53</v>
      </c>
      <c r="H118" s="281">
        <v>7.4999999999999997E-2</v>
      </c>
      <c r="I118" s="283">
        <f t="shared" si="3"/>
        <v>1.1100000000000001</v>
      </c>
      <c r="J118" s="284"/>
      <c r="K118" s="43"/>
      <c r="L118" s="43"/>
      <c r="M118" s="43"/>
      <c r="N118" s="9"/>
      <c r="O118" s="9"/>
      <c r="P118" s="9"/>
      <c r="Q118" s="9"/>
      <c r="R118" s="9"/>
      <c r="S118" s="9"/>
      <c r="T118" s="9"/>
      <c r="U118" s="9"/>
      <c r="V118" s="9"/>
      <c r="W118" s="9"/>
      <c r="X118" s="9"/>
      <c r="Y118" s="9"/>
      <c r="Z118" s="9"/>
      <c r="AA118" s="9"/>
      <c r="AB118" s="9"/>
      <c r="AC118" s="9"/>
      <c r="AD118" s="9"/>
    </row>
    <row r="119" spans="1:30" s="2" customFormat="1" ht="23.25" customHeight="1">
      <c r="A119" s="278"/>
      <c r="B119" s="279" t="s">
        <v>306</v>
      </c>
      <c r="C119" s="280">
        <v>1</v>
      </c>
      <c r="D119" s="280">
        <v>1</v>
      </c>
      <c r="E119" s="280">
        <v>1</v>
      </c>
      <c r="F119" s="281">
        <v>1.77</v>
      </c>
      <c r="G119" s="281">
        <v>3.53</v>
      </c>
      <c r="H119" s="281">
        <v>7.4999999999999997E-2</v>
      </c>
      <c r="I119" s="283">
        <f t="shared" si="3"/>
        <v>0.47</v>
      </c>
      <c r="J119" s="284"/>
      <c r="K119" s="43"/>
      <c r="L119" s="43"/>
      <c r="M119" s="43"/>
      <c r="N119" s="9"/>
      <c r="O119" s="9"/>
      <c r="P119" s="9"/>
      <c r="Q119" s="9"/>
      <c r="R119" s="9"/>
      <c r="S119" s="9"/>
      <c r="T119" s="9"/>
      <c r="U119" s="9"/>
      <c r="V119" s="9"/>
      <c r="W119" s="9"/>
      <c r="X119" s="9"/>
      <c r="Y119" s="9"/>
      <c r="Z119" s="9"/>
      <c r="AA119" s="9"/>
      <c r="AB119" s="9"/>
      <c r="AC119" s="9"/>
      <c r="AD119" s="9"/>
    </row>
    <row r="120" spans="1:30" s="2" customFormat="1" ht="23.25" customHeight="1">
      <c r="A120" s="278"/>
      <c r="B120" s="279" t="s">
        <v>898</v>
      </c>
      <c r="C120" s="280">
        <v>1</v>
      </c>
      <c r="D120" s="280">
        <v>1</v>
      </c>
      <c r="E120" s="280">
        <v>1</v>
      </c>
      <c r="F120" s="281">
        <v>2.97</v>
      </c>
      <c r="G120" s="282">
        <v>2.2999999999999998</v>
      </c>
      <c r="H120" s="281">
        <v>7.4999999999999997E-2</v>
      </c>
      <c r="I120" s="283">
        <f t="shared" si="3"/>
        <v>0.51</v>
      </c>
      <c r="J120" s="284"/>
      <c r="K120" s="43"/>
      <c r="L120" s="43"/>
      <c r="M120" s="43"/>
      <c r="N120" s="9"/>
      <c r="O120" s="9"/>
      <c r="P120" s="9"/>
      <c r="Q120" s="9"/>
      <c r="R120" s="9"/>
      <c r="S120" s="9"/>
      <c r="T120" s="9"/>
      <c r="U120" s="9"/>
      <c r="V120" s="9"/>
      <c r="W120" s="9"/>
      <c r="X120" s="9"/>
      <c r="Y120" s="9"/>
      <c r="Z120" s="9"/>
      <c r="AA120" s="9"/>
      <c r="AB120" s="9"/>
      <c r="AC120" s="9"/>
      <c r="AD120" s="9"/>
    </row>
    <row r="121" spans="1:30" s="2" customFormat="1" ht="23.25" customHeight="1">
      <c r="A121" s="278"/>
      <c r="B121" s="279" t="s">
        <v>899</v>
      </c>
      <c r="C121" s="280">
        <v>1</v>
      </c>
      <c r="D121" s="280">
        <v>2</v>
      </c>
      <c r="E121" s="280">
        <v>2</v>
      </c>
      <c r="F121" s="281">
        <v>9.125</v>
      </c>
      <c r="G121" s="282">
        <v>2.8</v>
      </c>
      <c r="H121" s="281">
        <v>7.4999999999999997E-2</v>
      </c>
      <c r="I121" s="283">
        <f t="shared" si="3"/>
        <v>7.67</v>
      </c>
      <c r="J121" s="284"/>
      <c r="K121" s="43"/>
      <c r="L121" s="43"/>
      <c r="M121" s="43"/>
      <c r="N121" s="9"/>
      <c r="O121" s="9"/>
      <c r="P121" s="9"/>
      <c r="Q121" s="9"/>
      <c r="R121" s="9"/>
      <c r="S121" s="9"/>
      <c r="T121" s="9"/>
      <c r="U121" s="9"/>
      <c r="V121" s="9"/>
      <c r="W121" s="9"/>
      <c r="X121" s="9"/>
      <c r="Y121" s="9"/>
      <c r="Z121" s="9"/>
      <c r="AA121" s="9"/>
      <c r="AB121" s="9"/>
      <c r="AC121" s="9"/>
      <c r="AD121" s="9"/>
    </row>
    <row r="122" spans="1:30" s="73" customFormat="1" ht="23.25" customHeight="1">
      <c r="A122" s="278"/>
      <c r="B122" s="279" t="s">
        <v>517</v>
      </c>
      <c r="C122" s="280">
        <v>1</v>
      </c>
      <c r="D122" s="280">
        <v>1</v>
      </c>
      <c r="E122" s="280">
        <v>2</v>
      </c>
      <c r="F122" s="281">
        <v>0.8</v>
      </c>
      <c r="G122" s="282">
        <v>1.1499999999999999</v>
      </c>
      <c r="H122" s="281">
        <v>7.4999999999999997E-2</v>
      </c>
      <c r="I122" s="283">
        <f t="shared" si="3"/>
        <v>0.14000000000000001</v>
      </c>
      <c r="J122" s="284"/>
      <c r="K122" s="274"/>
      <c r="L122" s="274"/>
      <c r="M122" s="274"/>
      <c r="N122" s="74"/>
      <c r="O122" s="74"/>
      <c r="P122" s="74"/>
      <c r="Q122" s="74"/>
      <c r="R122" s="74"/>
      <c r="S122" s="74"/>
      <c r="T122" s="74"/>
      <c r="U122" s="74"/>
      <c r="V122" s="74"/>
      <c r="W122" s="74"/>
      <c r="X122" s="74"/>
      <c r="Y122" s="74"/>
      <c r="Z122" s="74"/>
      <c r="AA122" s="74"/>
      <c r="AB122" s="74"/>
      <c r="AC122" s="74"/>
      <c r="AD122" s="74"/>
    </row>
    <row r="123" spans="1:30" s="73" customFormat="1" ht="23.25" customHeight="1">
      <c r="A123" s="278"/>
      <c r="B123" s="279" t="s">
        <v>516</v>
      </c>
      <c r="C123" s="280">
        <v>1</v>
      </c>
      <c r="D123" s="280">
        <v>1</v>
      </c>
      <c r="E123" s="280">
        <v>2</v>
      </c>
      <c r="F123" s="281">
        <v>1.6850000000000001</v>
      </c>
      <c r="G123" s="282">
        <v>1.1499999999999999</v>
      </c>
      <c r="H123" s="281">
        <v>7.4999999999999997E-2</v>
      </c>
      <c r="I123" s="283">
        <f t="shared" si="3"/>
        <v>0.28999999999999998</v>
      </c>
      <c r="J123" s="284"/>
      <c r="K123" s="274"/>
      <c r="L123" s="274"/>
      <c r="M123" s="274"/>
      <c r="N123" s="74"/>
      <c r="O123" s="74"/>
      <c r="P123" s="74"/>
      <c r="Q123" s="74"/>
      <c r="R123" s="74"/>
      <c r="S123" s="74"/>
      <c r="T123" s="74"/>
      <c r="U123" s="74"/>
      <c r="V123" s="74"/>
      <c r="W123" s="74"/>
      <c r="X123" s="74"/>
      <c r="Y123" s="74"/>
      <c r="Z123" s="74"/>
      <c r="AA123" s="74"/>
      <c r="AB123" s="74"/>
      <c r="AC123" s="74"/>
      <c r="AD123" s="74"/>
    </row>
    <row r="124" spans="1:30" s="73" customFormat="1" ht="23.25" customHeight="1">
      <c r="A124" s="278"/>
      <c r="B124" s="279" t="s">
        <v>537</v>
      </c>
      <c r="C124" s="280">
        <v>1</v>
      </c>
      <c r="D124" s="280">
        <v>1</v>
      </c>
      <c r="E124" s="280">
        <v>3</v>
      </c>
      <c r="F124" s="281">
        <v>2.5499999999999998</v>
      </c>
      <c r="G124" s="282">
        <v>2.85</v>
      </c>
      <c r="H124" s="281">
        <v>7.4999999999999997E-2</v>
      </c>
      <c r="I124" s="283">
        <f t="shared" si="3"/>
        <v>1.64</v>
      </c>
      <c r="J124" s="284"/>
      <c r="K124" s="274"/>
      <c r="L124" s="274"/>
      <c r="M124" s="274"/>
      <c r="N124" s="74"/>
      <c r="O124" s="74"/>
      <c r="P124" s="74"/>
      <c r="Q124" s="74"/>
      <c r="R124" s="74"/>
      <c r="S124" s="74"/>
      <c r="T124" s="74"/>
      <c r="U124" s="74"/>
      <c r="V124" s="74"/>
      <c r="W124" s="74"/>
      <c r="X124" s="74"/>
      <c r="Y124" s="74"/>
      <c r="Z124" s="74"/>
      <c r="AA124" s="74"/>
      <c r="AB124" s="74"/>
      <c r="AC124" s="74"/>
      <c r="AD124" s="74"/>
    </row>
    <row r="125" spans="1:30" s="108" customFormat="1" ht="23.25" customHeight="1">
      <c r="A125" s="294"/>
      <c r="B125" s="293" t="s">
        <v>305</v>
      </c>
      <c r="C125" s="280">
        <v>1</v>
      </c>
      <c r="D125" s="307">
        <v>1</v>
      </c>
      <c r="E125" s="307">
        <v>1</v>
      </c>
      <c r="F125" s="308">
        <v>0.86</v>
      </c>
      <c r="G125" s="317">
        <v>0.93500000000000005</v>
      </c>
      <c r="H125" s="281">
        <v>7.4999999999999997E-2</v>
      </c>
      <c r="I125" s="283">
        <f t="shared" si="3"/>
        <v>0.06</v>
      </c>
      <c r="J125" s="294"/>
      <c r="K125" s="111"/>
      <c r="L125" s="111"/>
      <c r="M125" s="111"/>
    </row>
    <row r="126" spans="1:30" s="108" customFormat="1" ht="23.25" customHeight="1">
      <c r="A126" s="294"/>
      <c r="B126" s="293" t="s">
        <v>305</v>
      </c>
      <c r="C126" s="280">
        <v>1</v>
      </c>
      <c r="D126" s="307">
        <v>1</v>
      </c>
      <c r="E126" s="307">
        <v>1</v>
      </c>
      <c r="F126" s="308">
        <v>0.79</v>
      </c>
      <c r="G126" s="317">
        <v>0.93500000000000005</v>
      </c>
      <c r="H126" s="281">
        <v>7.4999999999999997E-2</v>
      </c>
      <c r="I126" s="283">
        <f t="shared" si="3"/>
        <v>0.06</v>
      </c>
      <c r="J126" s="294"/>
      <c r="K126" s="111"/>
      <c r="L126" s="111"/>
      <c r="M126" s="111"/>
      <c r="N126" s="108">
        <f>1.02+0.695</f>
        <v>1.7150000000000001</v>
      </c>
      <c r="O126" s="108">
        <f>N126/2</f>
        <v>0.85750000000000004</v>
      </c>
    </row>
    <row r="127" spans="1:30" s="2" customFormat="1" ht="23.25" customHeight="1">
      <c r="A127" s="278"/>
      <c r="B127" s="279" t="s">
        <v>536</v>
      </c>
      <c r="C127" s="280">
        <v>1</v>
      </c>
      <c r="D127" s="280">
        <v>1</v>
      </c>
      <c r="E127" s="280">
        <v>4</v>
      </c>
      <c r="F127" s="282">
        <v>1.43</v>
      </c>
      <c r="G127" s="282">
        <v>2.9</v>
      </c>
      <c r="H127" s="281">
        <v>7.4999999999999997E-2</v>
      </c>
      <c r="I127" s="283">
        <f t="shared" si="3"/>
        <v>1.24</v>
      </c>
      <c r="J127" s="284"/>
      <c r="K127" s="43"/>
      <c r="L127" s="43"/>
      <c r="M127" s="43"/>
      <c r="N127" s="9"/>
      <c r="O127" s="9"/>
      <c r="P127" s="9"/>
      <c r="Q127" s="9"/>
      <c r="R127" s="9"/>
      <c r="S127" s="9"/>
      <c r="T127" s="9"/>
      <c r="U127" s="9"/>
      <c r="V127" s="9"/>
      <c r="W127" s="9"/>
      <c r="X127" s="9"/>
      <c r="Y127" s="9"/>
      <c r="Z127" s="9"/>
      <c r="AA127" s="9"/>
      <c r="AB127" s="9"/>
      <c r="AC127" s="9"/>
      <c r="AD127" s="9"/>
    </row>
    <row r="128" spans="1:30" s="2" customFormat="1" ht="23.25" customHeight="1">
      <c r="A128" s="278"/>
      <c r="B128" s="279" t="s">
        <v>535</v>
      </c>
      <c r="C128" s="280">
        <v>1</v>
      </c>
      <c r="D128" s="280">
        <v>1</v>
      </c>
      <c r="E128" s="280">
        <v>1</v>
      </c>
      <c r="F128" s="282">
        <v>5.81</v>
      </c>
      <c r="G128" s="282">
        <v>1.55</v>
      </c>
      <c r="H128" s="281">
        <v>7.4999999999999997E-2</v>
      </c>
      <c r="I128" s="283">
        <f t="shared" si="3"/>
        <v>0.68</v>
      </c>
      <c r="J128" s="284"/>
      <c r="K128" s="43"/>
      <c r="L128" s="43"/>
      <c r="M128" s="43"/>
      <c r="N128" s="9">
        <f>6.53+5.089</f>
        <v>11.62</v>
      </c>
      <c r="O128" s="9">
        <f>N128/2</f>
        <v>5.81</v>
      </c>
      <c r="P128" s="9"/>
      <c r="Q128" s="9"/>
      <c r="R128" s="9"/>
      <c r="S128" s="9"/>
      <c r="T128" s="9"/>
      <c r="U128" s="9"/>
      <c r="V128" s="9"/>
      <c r="W128" s="9"/>
      <c r="X128" s="9"/>
      <c r="Y128" s="9"/>
      <c r="Z128" s="9"/>
      <c r="AA128" s="9"/>
      <c r="AB128" s="9"/>
      <c r="AC128" s="9"/>
      <c r="AD128" s="9"/>
    </row>
    <row r="129" spans="1:30" s="2" customFormat="1" ht="23.25" customHeight="1">
      <c r="A129" s="278"/>
      <c r="B129" s="279" t="s">
        <v>535</v>
      </c>
      <c r="C129" s="280">
        <v>1</v>
      </c>
      <c r="D129" s="280">
        <v>1</v>
      </c>
      <c r="E129" s="280">
        <v>3</v>
      </c>
      <c r="F129" s="281">
        <v>1.41</v>
      </c>
      <c r="G129" s="281">
        <v>6.09</v>
      </c>
      <c r="H129" s="281">
        <v>7.4999999999999997E-2</v>
      </c>
      <c r="I129" s="283">
        <f t="shared" si="3"/>
        <v>1.93</v>
      </c>
      <c r="J129" s="284"/>
      <c r="K129" s="43"/>
      <c r="L129" s="43"/>
      <c r="M129" s="43"/>
      <c r="N129" s="9">
        <f>6.53+5.639</f>
        <v>12.17</v>
      </c>
      <c r="O129" s="9">
        <f>N129/2</f>
        <v>6.09</v>
      </c>
      <c r="P129" s="9">
        <f>0.589+1.878+1.75</f>
        <v>4.22</v>
      </c>
      <c r="Q129" s="9">
        <f>P129/3</f>
        <v>1.41</v>
      </c>
      <c r="R129" s="9"/>
      <c r="S129" s="9"/>
      <c r="T129" s="9"/>
      <c r="U129" s="9"/>
      <c r="V129" s="9"/>
      <c r="W129" s="9"/>
      <c r="X129" s="9"/>
      <c r="Y129" s="9"/>
      <c r="Z129" s="9"/>
      <c r="AA129" s="9"/>
      <c r="AB129" s="9"/>
      <c r="AC129" s="9"/>
      <c r="AD129" s="9"/>
    </row>
    <row r="130" spans="1:30" s="2" customFormat="1" ht="23.25" customHeight="1">
      <c r="A130" s="278"/>
      <c r="B130" s="279"/>
      <c r="C130" s="280"/>
      <c r="D130" s="280"/>
      <c r="E130" s="280"/>
      <c r="F130" s="282"/>
      <c r="G130" s="282"/>
      <c r="H130" s="282" t="s">
        <v>60</v>
      </c>
      <c r="I130" s="283">
        <f>SUM(I98:I129)</f>
        <v>76.17</v>
      </c>
      <c r="J130" s="343" t="s">
        <v>21</v>
      </c>
      <c r="K130" s="44"/>
      <c r="L130" s="44"/>
      <c r="M130" s="44"/>
      <c r="N130" s="9"/>
      <c r="O130" s="9"/>
      <c r="P130" s="9"/>
      <c r="Q130" s="9"/>
      <c r="R130" s="9"/>
      <c r="S130" s="9"/>
      <c r="T130" s="9"/>
      <c r="U130" s="9"/>
      <c r="V130" s="9"/>
      <c r="W130" s="9"/>
      <c r="X130" s="9"/>
      <c r="Y130" s="9"/>
      <c r="Z130" s="9"/>
      <c r="AA130" s="9"/>
      <c r="AB130" s="9"/>
      <c r="AC130" s="9"/>
      <c r="AD130" s="9"/>
    </row>
    <row r="131" spans="1:30" s="2" customFormat="1" ht="23.25" customHeight="1">
      <c r="A131" s="278"/>
      <c r="B131" s="279"/>
      <c r="C131" s="280"/>
      <c r="D131" s="280"/>
      <c r="E131" s="280"/>
      <c r="F131" s="282"/>
      <c r="G131" s="282"/>
      <c r="H131" s="415" t="s">
        <v>55</v>
      </c>
      <c r="I131" s="416">
        <f>ROUNDUP(I130,1)</f>
        <v>76.2</v>
      </c>
      <c r="J131" s="343" t="s">
        <v>21</v>
      </c>
      <c r="K131" s="44"/>
      <c r="L131" s="44"/>
      <c r="M131" s="44"/>
      <c r="N131" s="9"/>
      <c r="O131" s="9"/>
      <c r="P131" s="9"/>
      <c r="Q131" s="9"/>
      <c r="R131" s="9"/>
      <c r="S131" s="9"/>
      <c r="T131" s="9"/>
      <c r="U131" s="9"/>
      <c r="V131" s="9"/>
      <c r="W131" s="9"/>
      <c r="X131" s="9"/>
      <c r="Y131" s="9"/>
      <c r="Z131" s="9"/>
      <c r="AA131" s="9"/>
      <c r="AB131" s="9"/>
      <c r="AC131" s="9"/>
      <c r="AD131" s="9"/>
    </row>
    <row r="132" spans="1:30" s="2" customFormat="1" ht="48" customHeight="1">
      <c r="A132" s="288">
        <v>6.2</v>
      </c>
      <c r="B132" s="286" t="s">
        <v>951</v>
      </c>
      <c r="C132" s="280"/>
      <c r="D132" s="280"/>
      <c r="E132" s="280"/>
      <c r="F132" s="282"/>
      <c r="G132" s="415"/>
      <c r="H132" s="282"/>
      <c r="I132" s="416"/>
      <c r="J132" s="284"/>
      <c r="K132" s="43"/>
      <c r="L132" s="43"/>
      <c r="M132" s="43"/>
      <c r="N132" s="9"/>
      <c r="O132" s="9"/>
      <c r="P132" s="9"/>
      <c r="Q132" s="9"/>
      <c r="R132" s="9"/>
      <c r="S132" s="9"/>
      <c r="T132" s="9"/>
      <c r="U132" s="9"/>
      <c r="V132" s="9"/>
      <c r="W132" s="9"/>
      <c r="X132" s="9"/>
      <c r="Y132" s="9"/>
      <c r="Z132" s="9"/>
      <c r="AA132" s="9"/>
      <c r="AB132" s="9"/>
      <c r="AC132" s="9"/>
      <c r="AD132" s="9"/>
    </row>
    <row r="133" spans="1:30" s="2" customFormat="1" ht="19.5" customHeight="1">
      <c r="A133" s="278"/>
      <c r="B133" s="286" t="s">
        <v>93</v>
      </c>
      <c r="C133" s="280"/>
      <c r="D133" s="280"/>
      <c r="E133" s="280"/>
      <c r="F133" s="281"/>
      <c r="G133" s="282"/>
      <c r="H133" s="282"/>
      <c r="I133" s="283"/>
      <c r="J133" s="284"/>
      <c r="K133" s="43"/>
      <c r="L133" s="43"/>
      <c r="M133" s="43"/>
      <c r="N133" s="9"/>
      <c r="O133" s="9"/>
      <c r="P133" s="9"/>
      <c r="Q133" s="9"/>
      <c r="R133" s="9"/>
      <c r="S133" s="9"/>
      <c r="T133" s="9"/>
      <c r="U133" s="9"/>
      <c r="V133" s="9"/>
      <c r="W133" s="9"/>
      <c r="X133" s="9"/>
      <c r="Y133" s="9"/>
      <c r="Z133" s="9"/>
      <c r="AA133" s="9"/>
      <c r="AB133" s="9"/>
      <c r="AC133" s="9"/>
      <c r="AD133" s="9"/>
    </row>
    <row r="134" spans="1:30" s="6" customFormat="1">
      <c r="A134" s="427"/>
      <c r="B134" s="427" t="s">
        <v>935</v>
      </c>
      <c r="C134" s="428">
        <v>5</v>
      </c>
      <c r="D134" s="428">
        <v>1</v>
      </c>
      <c r="E134" s="428">
        <v>1</v>
      </c>
      <c r="F134" s="429">
        <v>47.03</v>
      </c>
      <c r="G134" s="430">
        <v>0.23</v>
      </c>
      <c r="H134" s="430">
        <v>0.45</v>
      </c>
      <c r="I134" s="430">
        <f t="shared" ref="I134:I139" si="4">PRODUCT(C134:H134)</f>
        <v>24.34</v>
      </c>
      <c r="J134" s="431"/>
    </row>
    <row r="135" spans="1:30" s="6" customFormat="1">
      <c r="A135" s="427"/>
      <c r="B135" s="427" t="s">
        <v>93</v>
      </c>
      <c r="C135" s="428">
        <v>5</v>
      </c>
      <c r="D135" s="428">
        <v>1</v>
      </c>
      <c r="E135" s="428">
        <v>3</v>
      </c>
      <c r="F135" s="429">
        <v>8.8949999999999996</v>
      </c>
      <c r="G135" s="430">
        <v>0.23</v>
      </c>
      <c r="H135" s="430">
        <v>0.45</v>
      </c>
      <c r="I135" s="430">
        <f t="shared" si="4"/>
        <v>13.81</v>
      </c>
      <c r="J135" s="431"/>
    </row>
    <row r="136" spans="1:30" s="6" customFormat="1">
      <c r="A136" s="427"/>
      <c r="B136" s="427" t="s">
        <v>93</v>
      </c>
      <c r="C136" s="428">
        <v>5</v>
      </c>
      <c r="D136" s="428">
        <v>1</v>
      </c>
      <c r="E136" s="428">
        <v>2</v>
      </c>
      <c r="F136" s="429">
        <v>4</v>
      </c>
      <c r="G136" s="430">
        <v>0.23</v>
      </c>
      <c r="H136" s="430">
        <v>0.45</v>
      </c>
      <c r="I136" s="430">
        <f t="shared" si="4"/>
        <v>4.1399999999999997</v>
      </c>
      <c r="J136" s="431"/>
    </row>
    <row r="137" spans="1:30" s="6" customFormat="1">
      <c r="A137" s="427"/>
      <c r="B137" s="427" t="s">
        <v>93</v>
      </c>
      <c r="C137" s="428">
        <v>5</v>
      </c>
      <c r="D137" s="428">
        <v>1</v>
      </c>
      <c r="E137" s="428">
        <v>2</v>
      </c>
      <c r="F137" s="429">
        <v>1.2</v>
      </c>
      <c r="G137" s="430">
        <v>0.23</v>
      </c>
      <c r="H137" s="430">
        <v>0.45</v>
      </c>
      <c r="I137" s="430">
        <f t="shared" si="4"/>
        <v>1.24</v>
      </c>
      <c r="J137" s="431"/>
    </row>
    <row r="138" spans="1:30" s="6" customFormat="1">
      <c r="A138" s="427"/>
      <c r="B138" s="427" t="s">
        <v>853</v>
      </c>
      <c r="C138" s="428">
        <v>5</v>
      </c>
      <c r="D138" s="428">
        <v>1</v>
      </c>
      <c r="E138" s="428">
        <v>4</v>
      </c>
      <c r="F138" s="429">
        <v>3.3849999999999998</v>
      </c>
      <c r="G138" s="430">
        <v>0.23</v>
      </c>
      <c r="H138" s="430">
        <v>0.45</v>
      </c>
      <c r="I138" s="430">
        <f t="shared" si="4"/>
        <v>7.01</v>
      </c>
      <c r="J138" s="431"/>
    </row>
    <row r="139" spans="1:30" s="6" customFormat="1">
      <c r="A139" s="427"/>
      <c r="B139" s="427" t="s">
        <v>853</v>
      </c>
      <c r="C139" s="428">
        <v>5</v>
      </c>
      <c r="D139" s="428">
        <v>1</v>
      </c>
      <c r="E139" s="428">
        <v>2</v>
      </c>
      <c r="F139" s="429">
        <v>3.35</v>
      </c>
      <c r="G139" s="430">
        <v>0.23</v>
      </c>
      <c r="H139" s="430">
        <v>0.45</v>
      </c>
      <c r="I139" s="430">
        <f t="shared" si="4"/>
        <v>3.47</v>
      </c>
      <c r="J139" s="431"/>
    </row>
    <row r="140" spans="1:30" s="6" customFormat="1">
      <c r="A140" s="427"/>
      <c r="B140" s="432" t="s">
        <v>144</v>
      </c>
      <c r="C140" s="428"/>
      <c r="D140" s="428"/>
      <c r="E140" s="428"/>
      <c r="F140" s="429"/>
      <c r="G140" s="430"/>
      <c r="H140" s="430"/>
      <c r="I140" s="433"/>
      <c r="J140" s="431"/>
    </row>
    <row r="141" spans="1:30" s="6" customFormat="1">
      <c r="A141" s="427"/>
      <c r="B141" s="427" t="s">
        <v>463</v>
      </c>
      <c r="C141" s="428">
        <v>1</v>
      </c>
      <c r="D141" s="428">
        <v>1</v>
      </c>
      <c r="E141" s="428">
        <v>8</v>
      </c>
      <c r="F141" s="429">
        <v>6.06</v>
      </c>
      <c r="G141" s="430">
        <v>0.23</v>
      </c>
      <c r="H141" s="430">
        <v>0.45</v>
      </c>
      <c r="I141" s="430">
        <f t="shared" ref="I141:I157" si="5">PRODUCT(C141:H141)</f>
        <v>5.0199999999999996</v>
      </c>
      <c r="J141" s="431"/>
    </row>
    <row r="142" spans="1:30" s="6" customFormat="1">
      <c r="A142" s="427"/>
      <c r="B142" s="427" t="s">
        <v>93</v>
      </c>
      <c r="C142" s="428">
        <v>1</v>
      </c>
      <c r="D142" s="428">
        <v>1</v>
      </c>
      <c r="E142" s="428">
        <v>12</v>
      </c>
      <c r="F142" s="429">
        <v>1.9</v>
      </c>
      <c r="G142" s="430">
        <v>0.23</v>
      </c>
      <c r="H142" s="430">
        <v>0.45</v>
      </c>
      <c r="I142" s="430">
        <f t="shared" si="5"/>
        <v>2.36</v>
      </c>
      <c r="J142" s="431"/>
    </row>
    <row r="143" spans="1:30" s="6" customFormat="1">
      <c r="A143" s="427"/>
      <c r="B143" s="427" t="s">
        <v>93</v>
      </c>
      <c r="C143" s="428">
        <v>1</v>
      </c>
      <c r="D143" s="428">
        <v>1</v>
      </c>
      <c r="E143" s="428">
        <v>1</v>
      </c>
      <c r="F143" s="429">
        <v>3.53</v>
      </c>
      <c r="G143" s="430">
        <v>0.23</v>
      </c>
      <c r="H143" s="430">
        <v>0.45</v>
      </c>
      <c r="I143" s="430">
        <f t="shared" si="5"/>
        <v>0.37</v>
      </c>
      <c r="J143" s="431"/>
    </row>
    <row r="144" spans="1:30" s="6" customFormat="1">
      <c r="A144" s="427"/>
      <c r="B144" s="427" t="s">
        <v>853</v>
      </c>
      <c r="C144" s="428">
        <v>1</v>
      </c>
      <c r="D144" s="428">
        <v>1</v>
      </c>
      <c r="E144" s="428">
        <v>2</v>
      </c>
      <c r="F144" s="429">
        <v>3.08</v>
      </c>
      <c r="G144" s="430">
        <v>0.23</v>
      </c>
      <c r="H144" s="430">
        <v>0.45</v>
      </c>
      <c r="I144" s="430">
        <f t="shared" si="5"/>
        <v>0.64</v>
      </c>
      <c r="J144" s="431"/>
    </row>
    <row r="145" spans="1:10" s="6" customFormat="1">
      <c r="A145" s="427"/>
      <c r="B145" s="427" t="s">
        <v>853</v>
      </c>
      <c r="C145" s="428">
        <v>1</v>
      </c>
      <c r="D145" s="428">
        <v>1</v>
      </c>
      <c r="E145" s="428">
        <v>1</v>
      </c>
      <c r="F145" s="429">
        <v>4.0949999999999998</v>
      </c>
      <c r="G145" s="430">
        <v>0.23</v>
      </c>
      <c r="H145" s="430">
        <v>0.45</v>
      </c>
      <c r="I145" s="430">
        <f t="shared" si="5"/>
        <v>0.42</v>
      </c>
      <c r="J145" s="431"/>
    </row>
    <row r="146" spans="1:10" s="6" customFormat="1">
      <c r="A146" s="427"/>
      <c r="B146" s="427" t="s">
        <v>853</v>
      </c>
      <c r="C146" s="428">
        <v>1</v>
      </c>
      <c r="D146" s="428">
        <v>1</v>
      </c>
      <c r="E146" s="428">
        <v>1</v>
      </c>
      <c r="F146" s="429">
        <v>1.0349999999999999</v>
      </c>
      <c r="G146" s="430">
        <v>0.23</v>
      </c>
      <c r="H146" s="430">
        <v>0.45</v>
      </c>
      <c r="I146" s="430">
        <f t="shared" si="5"/>
        <v>0.11</v>
      </c>
      <c r="J146" s="431"/>
    </row>
    <row r="147" spans="1:10" s="6" customFormat="1">
      <c r="A147" s="427"/>
      <c r="B147" s="427" t="s">
        <v>853</v>
      </c>
      <c r="C147" s="428">
        <v>1</v>
      </c>
      <c r="D147" s="428">
        <v>1</v>
      </c>
      <c r="E147" s="428">
        <v>2</v>
      </c>
      <c r="F147" s="429">
        <v>4.83</v>
      </c>
      <c r="G147" s="430">
        <v>0.23</v>
      </c>
      <c r="H147" s="430">
        <v>0.45</v>
      </c>
      <c r="I147" s="430">
        <f t="shared" si="5"/>
        <v>1</v>
      </c>
      <c r="J147" s="431"/>
    </row>
    <row r="148" spans="1:10" s="6" customFormat="1">
      <c r="A148" s="427"/>
      <c r="B148" s="427" t="s">
        <v>853</v>
      </c>
      <c r="C148" s="428">
        <v>1</v>
      </c>
      <c r="D148" s="428">
        <v>1</v>
      </c>
      <c r="E148" s="428">
        <v>2</v>
      </c>
      <c r="F148" s="429">
        <v>7.66</v>
      </c>
      <c r="G148" s="430">
        <v>0.23</v>
      </c>
      <c r="H148" s="430">
        <v>0.45</v>
      </c>
      <c r="I148" s="430">
        <f t="shared" si="5"/>
        <v>1.59</v>
      </c>
      <c r="J148" s="431"/>
    </row>
    <row r="149" spans="1:10" s="6" customFormat="1">
      <c r="A149" s="427"/>
      <c r="B149" s="427" t="s">
        <v>853</v>
      </c>
      <c r="C149" s="428">
        <v>1</v>
      </c>
      <c r="D149" s="428">
        <v>1</v>
      </c>
      <c r="E149" s="428">
        <v>2</v>
      </c>
      <c r="F149" s="429">
        <v>2.7949999999999999</v>
      </c>
      <c r="G149" s="430">
        <v>0.23</v>
      </c>
      <c r="H149" s="430">
        <v>0.45</v>
      </c>
      <c r="I149" s="430">
        <f t="shared" si="5"/>
        <v>0.57999999999999996</v>
      </c>
      <c r="J149" s="431"/>
    </row>
    <row r="150" spans="1:10" s="6" customFormat="1">
      <c r="A150" s="427"/>
      <c r="B150" s="427" t="s">
        <v>853</v>
      </c>
      <c r="C150" s="428">
        <v>1</v>
      </c>
      <c r="D150" s="428">
        <v>1</v>
      </c>
      <c r="E150" s="428">
        <v>2</v>
      </c>
      <c r="F150" s="429">
        <v>2.1</v>
      </c>
      <c r="G150" s="430">
        <v>0.23</v>
      </c>
      <c r="H150" s="430">
        <v>0.45</v>
      </c>
      <c r="I150" s="430">
        <f t="shared" si="5"/>
        <v>0.43</v>
      </c>
      <c r="J150" s="431"/>
    </row>
    <row r="151" spans="1:10" s="6" customFormat="1">
      <c r="A151" s="427"/>
      <c r="B151" s="427" t="s">
        <v>853</v>
      </c>
      <c r="C151" s="428">
        <v>1</v>
      </c>
      <c r="D151" s="428">
        <v>1</v>
      </c>
      <c r="E151" s="428">
        <v>1</v>
      </c>
      <c r="F151" s="429">
        <v>1.905</v>
      </c>
      <c r="G151" s="430">
        <v>0.23</v>
      </c>
      <c r="H151" s="430">
        <v>0.45</v>
      </c>
      <c r="I151" s="430">
        <f t="shared" si="5"/>
        <v>0.2</v>
      </c>
      <c r="J151" s="431"/>
    </row>
    <row r="152" spans="1:10" s="6" customFormat="1">
      <c r="A152" s="427"/>
      <c r="B152" s="427" t="s">
        <v>853</v>
      </c>
      <c r="C152" s="428">
        <v>1</v>
      </c>
      <c r="D152" s="428">
        <v>1</v>
      </c>
      <c r="E152" s="428">
        <v>2</v>
      </c>
      <c r="F152" s="429">
        <v>9.2949999999999999</v>
      </c>
      <c r="G152" s="430">
        <v>0.23</v>
      </c>
      <c r="H152" s="430">
        <v>0.45</v>
      </c>
      <c r="I152" s="430">
        <f t="shared" si="5"/>
        <v>1.92</v>
      </c>
      <c r="J152" s="431"/>
    </row>
    <row r="153" spans="1:10" s="6" customFormat="1">
      <c r="A153" s="427"/>
      <c r="B153" s="427" t="s">
        <v>853</v>
      </c>
      <c r="C153" s="428">
        <v>1</v>
      </c>
      <c r="D153" s="428">
        <v>1</v>
      </c>
      <c r="E153" s="428">
        <v>2</v>
      </c>
      <c r="F153" s="429">
        <v>4.2300000000000004</v>
      </c>
      <c r="G153" s="430">
        <v>0.23</v>
      </c>
      <c r="H153" s="430">
        <v>0.45</v>
      </c>
      <c r="I153" s="430">
        <f t="shared" si="5"/>
        <v>0.88</v>
      </c>
      <c r="J153" s="431"/>
    </row>
    <row r="154" spans="1:10" s="6" customFormat="1">
      <c r="A154" s="427"/>
      <c r="B154" s="427" t="s">
        <v>853</v>
      </c>
      <c r="C154" s="428">
        <v>1</v>
      </c>
      <c r="D154" s="428">
        <v>1</v>
      </c>
      <c r="E154" s="428">
        <v>1</v>
      </c>
      <c r="F154" s="429">
        <v>6.2</v>
      </c>
      <c r="G154" s="430">
        <v>0.23</v>
      </c>
      <c r="H154" s="430">
        <v>0.45</v>
      </c>
      <c r="I154" s="430">
        <f t="shared" si="5"/>
        <v>0.64</v>
      </c>
      <c r="J154" s="431"/>
    </row>
    <row r="155" spans="1:10" s="6" customFormat="1">
      <c r="A155" s="427"/>
      <c r="B155" s="427" t="s">
        <v>853</v>
      </c>
      <c r="C155" s="428">
        <v>1</v>
      </c>
      <c r="D155" s="428">
        <v>1</v>
      </c>
      <c r="E155" s="428">
        <v>2</v>
      </c>
      <c r="F155" s="429">
        <v>3.6949999999999998</v>
      </c>
      <c r="G155" s="430">
        <v>0.23</v>
      </c>
      <c r="H155" s="430">
        <v>0.45</v>
      </c>
      <c r="I155" s="430">
        <f t="shared" si="5"/>
        <v>0.76</v>
      </c>
      <c r="J155" s="431"/>
    </row>
    <row r="156" spans="1:10" s="6" customFormat="1">
      <c r="A156" s="427"/>
      <c r="B156" s="427" t="s">
        <v>93</v>
      </c>
      <c r="C156" s="428">
        <v>1</v>
      </c>
      <c r="D156" s="428">
        <v>1</v>
      </c>
      <c r="E156" s="428">
        <v>2</v>
      </c>
      <c r="F156" s="429">
        <v>3.645</v>
      </c>
      <c r="G156" s="430">
        <v>0.23</v>
      </c>
      <c r="H156" s="430">
        <v>0.45</v>
      </c>
      <c r="I156" s="433">
        <f t="shared" si="5"/>
        <v>0.75</v>
      </c>
      <c r="J156" s="431"/>
    </row>
    <row r="157" spans="1:10" s="6" customFormat="1">
      <c r="A157" s="427"/>
      <c r="B157" s="427" t="s">
        <v>93</v>
      </c>
      <c r="C157" s="428">
        <v>1</v>
      </c>
      <c r="D157" s="428">
        <v>1</v>
      </c>
      <c r="E157" s="428">
        <v>2</v>
      </c>
      <c r="F157" s="429">
        <v>7.6680000000000001</v>
      </c>
      <c r="G157" s="430">
        <v>0.23</v>
      </c>
      <c r="H157" s="430">
        <v>0.45</v>
      </c>
      <c r="I157" s="433">
        <f t="shared" si="5"/>
        <v>1.59</v>
      </c>
      <c r="J157" s="431"/>
    </row>
    <row r="158" spans="1:10" s="6" customFormat="1">
      <c r="A158" s="427"/>
      <c r="B158" s="432" t="s">
        <v>937</v>
      </c>
      <c r="C158" s="428"/>
      <c r="D158" s="428"/>
      <c r="E158" s="428"/>
      <c r="F158" s="430"/>
      <c r="G158" s="430"/>
      <c r="H158" s="430"/>
      <c r="I158" s="433"/>
      <c r="J158" s="431"/>
    </row>
    <row r="159" spans="1:10" s="6" customFormat="1">
      <c r="A159" s="427"/>
      <c r="B159" s="427" t="s">
        <v>931</v>
      </c>
      <c r="C159" s="428">
        <v>-1</v>
      </c>
      <c r="D159" s="428">
        <v>1</v>
      </c>
      <c r="E159" s="428">
        <v>79</v>
      </c>
      <c r="F159" s="430">
        <v>0.23</v>
      </c>
      <c r="G159" s="430">
        <v>0.45</v>
      </c>
      <c r="H159" s="430">
        <v>0.45</v>
      </c>
      <c r="I159" s="430">
        <f>PRODUCT(C159:H159)</f>
        <v>-3.68</v>
      </c>
      <c r="J159" s="431"/>
    </row>
    <row r="160" spans="1:10" s="6" customFormat="1">
      <c r="A160" s="427"/>
      <c r="B160" s="427" t="s">
        <v>75</v>
      </c>
      <c r="C160" s="428">
        <v>-1</v>
      </c>
      <c r="D160" s="428">
        <v>1</v>
      </c>
      <c r="E160" s="428">
        <v>54</v>
      </c>
      <c r="F160" s="430">
        <v>0.23</v>
      </c>
      <c r="G160" s="430">
        <v>0.6</v>
      </c>
      <c r="H160" s="430">
        <v>0.45</v>
      </c>
      <c r="I160" s="430">
        <f>PRODUCT(C160:H160)</f>
        <v>-3.35</v>
      </c>
      <c r="J160" s="431"/>
    </row>
    <row r="161" spans="1:30" s="6" customFormat="1">
      <c r="A161" s="427"/>
      <c r="B161" s="427" t="s">
        <v>76</v>
      </c>
      <c r="C161" s="428">
        <v>-1</v>
      </c>
      <c r="D161" s="428">
        <v>1</v>
      </c>
      <c r="E161" s="428">
        <v>3</v>
      </c>
      <c r="F161" s="430">
        <v>0.23</v>
      </c>
      <c r="G161" s="430">
        <v>0.6</v>
      </c>
      <c r="H161" s="430">
        <v>0.45</v>
      </c>
      <c r="I161" s="430">
        <f>PRODUCT(C161:H161)</f>
        <v>-0.19</v>
      </c>
      <c r="J161" s="431"/>
    </row>
    <row r="162" spans="1:30" s="6" customFormat="1">
      <c r="A162" s="427"/>
      <c r="B162" s="427" t="s">
        <v>485</v>
      </c>
      <c r="C162" s="428">
        <v>-1</v>
      </c>
      <c r="D162" s="428">
        <v>1</v>
      </c>
      <c r="E162" s="428">
        <v>7</v>
      </c>
      <c r="F162" s="430">
        <v>0.23</v>
      </c>
      <c r="G162" s="430">
        <v>0.75</v>
      </c>
      <c r="H162" s="430">
        <v>0.45</v>
      </c>
      <c r="I162" s="430">
        <f>PRODUCT(C162:H162)</f>
        <v>-0.54</v>
      </c>
      <c r="J162" s="431"/>
    </row>
    <row r="163" spans="1:30" s="6" customFormat="1">
      <c r="A163" s="427"/>
      <c r="B163" s="427" t="s">
        <v>487</v>
      </c>
      <c r="C163" s="428">
        <v>-1</v>
      </c>
      <c r="D163" s="428">
        <v>1</v>
      </c>
      <c r="E163" s="428">
        <v>1</v>
      </c>
      <c r="F163" s="430">
        <v>0.23</v>
      </c>
      <c r="G163" s="430">
        <v>0.75</v>
      </c>
      <c r="H163" s="430">
        <v>0.45</v>
      </c>
      <c r="I163" s="430">
        <f>PRODUCT(C163:H163)</f>
        <v>-0.08</v>
      </c>
      <c r="J163" s="431"/>
    </row>
    <row r="164" spans="1:30" s="6" customFormat="1">
      <c r="A164" s="427"/>
      <c r="B164" s="427"/>
      <c r="C164" s="428"/>
      <c r="D164" s="428"/>
      <c r="E164" s="428"/>
      <c r="F164" s="430"/>
      <c r="G164" s="430"/>
      <c r="H164" s="430"/>
      <c r="I164" s="433"/>
      <c r="J164" s="431"/>
    </row>
    <row r="165" spans="1:30" s="2" customFormat="1" ht="18.75" customHeight="1">
      <c r="A165" s="278"/>
      <c r="B165" s="279" t="s">
        <v>73</v>
      </c>
      <c r="C165" s="280">
        <v>2</v>
      </c>
      <c r="D165" s="280">
        <v>1</v>
      </c>
      <c r="E165" s="280">
        <v>10</v>
      </c>
      <c r="F165" s="282">
        <v>3.32</v>
      </c>
      <c r="G165" s="282">
        <v>0.23</v>
      </c>
      <c r="H165" s="282">
        <v>0.75</v>
      </c>
      <c r="I165" s="283">
        <f t="shared" ref="I165:I170" si="6">PRODUCT(C165:H165)</f>
        <v>11.45</v>
      </c>
      <c r="J165" s="284"/>
      <c r="K165" s="43"/>
      <c r="L165" s="43"/>
      <c r="M165" s="43"/>
      <c r="N165" s="9"/>
      <c r="O165" s="9"/>
      <c r="P165" s="9"/>
      <c r="Q165" s="9"/>
      <c r="R165" s="9"/>
      <c r="S165" s="9"/>
      <c r="T165" s="9"/>
      <c r="U165" s="9"/>
      <c r="V165" s="9"/>
      <c r="W165" s="9"/>
      <c r="X165" s="9"/>
      <c r="Y165" s="9"/>
      <c r="Z165" s="9"/>
      <c r="AA165" s="9"/>
      <c r="AB165" s="9"/>
      <c r="AC165" s="9"/>
      <c r="AD165" s="9"/>
    </row>
    <row r="166" spans="1:30" s="2" customFormat="1" ht="24" customHeight="1">
      <c r="A166" s="278"/>
      <c r="B166" s="279" t="s">
        <v>581</v>
      </c>
      <c r="C166" s="280">
        <v>1</v>
      </c>
      <c r="D166" s="280">
        <v>1</v>
      </c>
      <c r="E166" s="280">
        <v>5</v>
      </c>
      <c r="F166" s="282">
        <v>3.32</v>
      </c>
      <c r="G166" s="282">
        <v>0.23</v>
      </c>
      <c r="H166" s="282">
        <v>0.75</v>
      </c>
      <c r="I166" s="283">
        <f t="shared" si="6"/>
        <v>2.86</v>
      </c>
      <c r="J166" s="284"/>
      <c r="K166" s="43"/>
      <c r="L166" s="43"/>
      <c r="M166" s="43"/>
      <c r="N166" s="9"/>
      <c r="O166" s="9"/>
      <c r="P166" s="9"/>
      <c r="Q166" s="9"/>
      <c r="R166" s="9"/>
      <c r="S166" s="9"/>
      <c r="T166" s="9"/>
      <c r="U166" s="9"/>
      <c r="V166" s="9"/>
      <c r="W166" s="9"/>
      <c r="X166" s="9"/>
      <c r="Y166" s="9"/>
      <c r="Z166" s="9"/>
      <c r="AA166" s="9"/>
      <c r="AB166" s="9"/>
      <c r="AC166" s="9"/>
      <c r="AD166" s="9"/>
    </row>
    <row r="167" spans="1:30" s="2" customFormat="1" ht="34.5" customHeight="1">
      <c r="A167" s="278"/>
      <c r="B167" s="279" t="s">
        <v>852</v>
      </c>
      <c r="C167" s="280">
        <v>1</v>
      </c>
      <c r="D167" s="280">
        <v>1</v>
      </c>
      <c r="E167" s="280">
        <v>5</v>
      </c>
      <c r="F167" s="282">
        <v>3.32</v>
      </c>
      <c r="G167" s="282">
        <v>0.23</v>
      </c>
      <c r="H167" s="282">
        <v>0.75</v>
      </c>
      <c r="I167" s="283">
        <f t="shared" si="6"/>
        <v>2.86</v>
      </c>
      <c r="J167" s="284"/>
      <c r="K167" s="43"/>
      <c r="L167" s="43"/>
      <c r="M167" s="43"/>
      <c r="N167" s="9"/>
      <c r="O167" s="9"/>
      <c r="P167" s="9"/>
      <c r="Q167" s="9"/>
      <c r="R167" s="9"/>
      <c r="S167" s="9"/>
      <c r="T167" s="9"/>
      <c r="U167" s="9"/>
      <c r="V167" s="9"/>
      <c r="W167" s="9"/>
      <c r="X167" s="9"/>
      <c r="Y167" s="9"/>
      <c r="Z167" s="9"/>
      <c r="AA167" s="9"/>
      <c r="AB167" s="9"/>
      <c r="AC167" s="9"/>
      <c r="AD167" s="9"/>
    </row>
    <row r="168" spans="1:30" s="2" customFormat="1" ht="18" customHeight="1">
      <c r="A168" s="278"/>
      <c r="B168" s="279" t="s">
        <v>851</v>
      </c>
      <c r="C168" s="280">
        <v>1</v>
      </c>
      <c r="D168" s="280">
        <v>1</v>
      </c>
      <c r="E168" s="280">
        <v>5</v>
      </c>
      <c r="F168" s="282">
        <v>2.9</v>
      </c>
      <c r="G168" s="282">
        <v>1.45</v>
      </c>
      <c r="H168" s="282">
        <v>0.45</v>
      </c>
      <c r="I168" s="283">
        <f t="shared" si="6"/>
        <v>9.4600000000000009</v>
      </c>
      <c r="J168" s="284"/>
      <c r="K168" s="43"/>
      <c r="L168" s="43"/>
      <c r="M168" s="43"/>
      <c r="N168" s="9"/>
      <c r="O168" s="9"/>
      <c r="P168" s="9"/>
      <c r="Q168" s="9"/>
      <c r="R168" s="9"/>
      <c r="S168" s="9"/>
      <c r="T168" s="9"/>
      <c r="U168" s="9"/>
      <c r="V168" s="9"/>
      <c r="W168" s="9"/>
      <c r="X168" s="9"/>
      <c r="Y168" s="9"/>
      <c r="Z168" s="9"/>
      <c r="AA168" s="9"/>
      <c r="AB168" s="9"/>
      <c r="AC168" s="9"/>
      <c r="AD168" s="9"/>
    </row>
    <row r="169" spans="1:30" s="2" customFormat="1" ht="18" customHeight="1">
      <c r="A169" s="278"/>
      <c r="B169" s="279" t="s">
        <v>851</v>
      </c>
      <c r="C169" s="280">
        <v>1</v>
      </c>
      <c r="D169" s="280">
        <v>1</v>
      </c>
      <c r="E169" s="280">
        <v>5</v>
      </c>
      <c r="F169" s="282">
        <v>2.9</v>
      </c>
      <c r="G169" s="282">
        <v>1.45</v>
      </c>
      <c r="H169" s="282">
        <v>0.3</v>
      </c>
      <c r="I169" s="283">
        <f t="shared" si="6"/>
        <v>6.31</v>
      </c>
      <c r="J169" s="284"/>
      <c r="K169" s="43"/>
      <c r="L169" s="43"/>
      <c r="M169" s="43"/>
      <c r="N169" s="9">
        <f>1.45-0.15</f>
        <v>1.3</v>
      </c>
      <c r="O169" s="9"/>
      <c r="P169" s="9"/>
      <c r="Q169" s="9"/>
      <c r="R169" s="9"/>
      <c r="S169" s="9"/>
      <c r="T169" s="9"/>
      <c r="U169" s="9"/>
      <c r="V169" s="9"/>
      <c r="W169" s="9"/>
      <c r="X169" s="9"/>
      <c r="Y169" s="9"/>
      <c r="Z169" s="9"/>
      <c r="AA169" s="9"/>
      <c r="AB169" s="9"/>
      <c r="AC169" s="9"/>
      <c r="AD169" s="9"/>
    </row>
    <row r="170" spans="1:30" s="2" customFormat="1" ht="19.5" customHeight="1">
      <c r="A170" s="278"/>
      <c r="B170" s="279" t="s">
        <v>851</v>
      </c>
      <c r="C170" s="280">
        <v>1</v>
      </c>
      <c r="D170" s="280">
        <v>1</v>
      </c>
      <c r="E170" s="280">
        <v>5</v>
      </c>
      <c r="F170" s="282">
        <v>2.9</v>
      </c>
      <c r="G170" s="282">
        <v>1.45</v>
      </c>
      <c r="H170" s="282">
        <v>0.15</v>
      </c>
      <c r="I170" s="283">
        <f t="shared" si="6"/>
        <v>3.15</v>
      </c>
      <c r="J170" s="284"/>
      <c r="K170" s="43"/>
      <c r="L170" s="43"/>
      <c r="M170" s="43"/>
      <c r="N170" s="9"/>
      <c r="O170" s="9"/>
      <c r="P170" s="9"/>
      <c r="Q170" s="9"/>
      <c r="R170" s="9"/>
      <c r="S170" s="9"/>
      <c r="T170" s="9"/>
      <c r="U170" s="9"/>
      <c r="V170" s="9"/>
      <c r="W170" s="9"/>
      <c r="X170" s="9"/>
      <c r="Y170" s="9"/>
      <c r="Z170" s="9"/>
      <c r="AA170" s="9"/>
      <c r="AB170" s="9"/>
      <c r="AC170" s="9"/>
      <c r="AD170" s="9"/>
    </row>
    <row r="171" spans="1:30" s="2" customFormat="1" ht="18.75" customHeight="1">
      <c r="A171" s="278"/>
      <c r="B171" s="279"/>
      <c r="C171" s="280"/>
      <c r="D171" s="280"/>
      <c r="E171" s="280"/>
      <c r="F171" s="282"/>
      <c r="G171" s="282"/>
      <c r="H171" s="282"/>
      <c r="I171" s="416">
        <f>SUM(I133:I170)</f>
        <v>101.52</v>
      </c>
      <c r="J171" s="284" t="s">
        <v>21</v>
      </c>
      <c r="K171" s="43"/>
      <c r="L171" s="43"/>
      <c r="M171" s="43"/>
      <c r="N171" s="9"/>
      <c r="O171" s="9"/>
      <c r="P171" s="9"/>
      <c r="Q171" s="9"/>
      <c r="R171" s="9"/>
      <c r="S171" s="9"/>
      <c r="T171" s="9"/>
      <c r="U171" s="9"/>
      <c r="V171" s="9"/>
      <c r="W171" s="9"/>
      <c r="X171" s="9"/>
      <c r="Y171" s="9"/>
      <c r="Z171" s="9"/>
      <c r="AA171" s="9"/>
      <c r="AB171" s="9"/>
      <c r="AC171" s="9"/>
      <c r="AD171" s="9"/>
    </row>
    <row r="172" spans="1:30" s="2" customFormat="1" ht="18.75" customHeight="1">
      <c r="A172" s="278"/>
      <c r="B172" s="279"/>
      <c r="C172" s="280"/>
      <c r="D172" s="280"/>
      <c r="E172" s="280"/>
      <c r="F172" s="282"/>
      <c r="G172" s="282"/>
      <c r="H172" s="415" t="s">
        <v>55</v>
      </c>
      <c r="I172" s="416">
        <f>ROUNDUP(I171,1)</f>
        <v>101.6</v>
      </c>
      <c r="J172" s="287" t="s">
        <v>21</v>
      </c>
      <c r="K172" s="42"/>
      <c r="L172" s="42"/>
      <c r="M172" s="42"/>
      <c r="N172" s="9"/>
      <c r="O172" s="9"/>
      <c r="P172" s="9"/>
      <c r="Q172" s="9"/>
      <c r="R172" s="9"/>
      <c r="S172" s="9"/>
      <c r="T172" s="9"/>
      <c r="U172" s="9"/>
      <c r="V172" s="9"/>
      <c r="W172" s="9"/>
      <c r="X172" s="9"/>
      <c r="Y172" s="9"/>
      <c r="Z172" s="9"/>
      <c r="AA172" s="9"/>
      <c r="AB172" s="9"/>
      <c r="AC172" s="9"/>
      <c r="AD172" s="9"/>
    </row>
    <row r="173" spans="1:30" s="73" customFormat="1" ht="33.75" customHeight="1">
      <c r="A173" s="394" t="s">
        <v>850</v>
      </c>
      <c r="B173" s="286" t="s">
        <v>864</v>
      </c>
      <c r="C173" s="280"/>
      <c r="D173" s="280"/>
      <c r="E173" s="280"/>
      <c r="F173" s="282"/>
      <c r="G173" s="282"/>
      <c r="H173" s="282"/>
      <c r="I173" s="283"/>
      <c r="J173" s="284"/>
      <c r="K173" s="43"/>
      <c r="L173" s="43"/>
      <c r="M173" s="43"/>
      <c r="N173" s="74"/>
      <c r="O173" s="74"/>
      <c r="P173" s="74"/>
      <c r="Q173" s="74"/>
      <c r="R173" s="74"/>
      <c r="S173" s="74"/>
      <c r="T173" s="74"/>
      <c r="U173" s="74"/>
      <c r="V173" s="74"/>
      <c r="W173" s="74"/>
      <c r="X173" s="74"/>
      <c r="Y173" s="74"/>
      <c r="Z173" s="74"/>
      <c r="AA173" s="74"/>
      <c r="AB173" s="74"/>
      <c r="AC173" s="74"/>
      <c r="AD173" s="74"/>
    </row>
    <row r="174" spans="1:30" s="6" customFormat="1">
      <c r="A174" s="432"/>
      <c r="B174" s="432" t="s">
        <v>900</v>
      </c>
      <c r="C174" s="434"/>
      <c r="D174" s="434"/>
      <c r="E174" s="434"/>
      <c r="F174" s="435"/>
      <c r="G174" s="435"/>
      <c r="H174" s="435"/>
      <c r="I174" s="436"/>
      <c r="J174" s="437"/>
    </row>
    <row r="175" spans="1:30" s="6" customFormat="1">
      <c r="A175" s="427"/>
      <c r="B175" s="427" t="s">
        <v>901</v>
      </c>
      <c r="C175" s="428">
        <v>1</v>
      </c>
      <c r="D175" s="428">
        <v>1</v>
      </c>
      <c r="E175" s="428">
        <v>3</v>
      </c>
      <c r="F175" s="430">
        <v>2.4</v>
      </c>
      <c r="G175" s="430">
        <v>2.4</v>
      </c>
      <c r="H175" s="430">
        <v>0.6</v>
      </c>
      <c r="I175" s="430">
        <f>PRODUCT(C175:H175)</f>
        <v>10.37</v>
      </c>
      <c r="J175" s="431"/>
    </row>
    <row r="176" spans="1:30" s="6" customFormat="1">
      <c r="A176" s="427"/>
      <c r="B176" s="427" t="s">
        <v>902</v>
      </c>
      <c r="C176" s="428">
        <v>1</v>
      </c>
      <c r="D176" s="428">
        <v>1</v>
      </c>
      <c r="E176" s="428">
        <v>6</v>
      </c>
      <c r="F176" s="430">
        <v>2.7</v>
      </c>
      <c r="G176" s="430">
        <v>2.7</v>
      </c>
      <c r="H176" s="430">
        <v>0.7</v>
      </c>
      <c r="I176" s="430">
        <f t="shared" ref="I176:I215" si="7">PRODUCT(C176:H176)</f>
        <v>30.62</v>
      </c>
      <c r="J176" s="431"/>
    </row>
    <row r="177" spans="1:10" s="6" customFormat="1">
      <c r="A177" s="427"/>
      <c r="B177" s="427" t="s">
        <v>903</v>
      </c>
      <c r="C177" s="428">
        <v>1</v>
      </c>
      <c r="D177" s="428">
        <v>1</v>
      </c>
      <c r="E177" s="428">
        <v>3</v>
      </c>
      <c r="F177" s="430">
        <v>3</v>
      </c>
      <c r="G177" s="430">
        <v>3</v>
      </c>
      <c r="H177" s="430">
        <v>0.85</v>
      </c>
      <c r="I177" s="430">
        <f t="shared" si="7"/>
        <v>22.95</v>
      </c>
      <c r="J177" s="431"/>
    </row>
    <row r="178" spans="1:10" s="6" customFormat="1">
      <c r="A178" s="427"/>
      <c r="B178" s="427" t="s">
        <v>904</v>
      </c>
      <c r="C178" s="428">
        <v>1</v>
      </c>
      <c r="D178" s="428">
        <v>1</v>
      </c>
      <c r="E178" s="428">
        <v>1</v>
      </c>
      <c r="F178" s="430">
        <v>3.5</v>
      </c>
      <c r="G178" s="430">
        <v>3.5</v>
      </c>
      <c r="H178" s="430">
        <v>0.9</v>
      </c>
      <c r="I178" s="430">
        <f t="shared" si="7"/>
        <v>11.03</v>
      </c>
      <c r="J178" s="431"/>
    </row>
    <row r="179" spans="1:10" s="6" customFormat="1">
      <c r="A179" s="427"/>
      <c r="B179" s="427" t="s">
        <v>905</v>
      </c>
      <c r="C179" s="428">
        <v>1</v>
      </c>
      <c r="D179" s="428">
        <v>1</v>
      </c>
      <c r="E179" s="428">
        <v>2</v>
      </c>
      <c r="F179" s="430">
        <v>6.2</v>
      </c>
      <c r="G179" s="430">
        <v>3.95</v>
      </c>
      <c r="H179" s="430">
        <v>0.85</v>
      </c>
      <c r="I179" s="430">
        <f t="shared" si="7"/>
        <v>41.63</v>
      </c>
      <c r="J179" s="431"/>
    </row>
    <row r="180" spans="1:10" s="6" customFormat="1">
      <c r="A180" s="427"/>
      <c r="B180" s="427" t="s">
        <v>906</v>
      </c>
      <c r="C180" s="428">
        <v>-1</v>
      </c>
      <c r="D180" s="428">
        <v>1</v>
      </c>
      <c r="E180" s="428">
        <v>2</v>
      </c>
      <c r="F180" s="430">
        <v>3.75</v>
      </c>
      <c r="G180" s="430">
        <v>1.25</v>
      </c>
      <c r="H180" s="430">
        <v>0.85</v>
      </c>
      <c r="I180" s="430">
        <f t="shared" si="7"/>
        <v>-7.97</v>
      </c>
      <c r="J180" s="431"/>
    </row>
    <row r="181" spans="1:10" s="6" customFormat="1">
      <c r="A181" s="427"/>
      <c r="B181" s="427" t="s">
        <v>907</v>
      </c>
      <c r="C181" s="428">
        <v>-1</v>
      </c>
      <c r="D181" s="428">
        <v>1</v>
      </c>
      <c r="E181" s="428">
        <v>2</v>
      </c>
      <c r="F181" s="430">
        <v>1.55</v>
      </c>
      <c r="G181" s="430">
        <v>1.2</v>
      </c>
      <c r="H181" s="430">
        <v>0.85</v>
      </c>
      <c r="I181" s="430">
        <f t="shared" si="7"/>
        <v>-3.16</v>
      </c>
      <c r="J181" s="431"/>
    </row>
    <row r="182" spans="1:10" s="6" customFormat="1">
      <c r="A182" s="427"/>
      <c r="B182" s="427" t="s">
        <v>908</v>
      </c>
      <c r="C182" s="428">
        <v>1</v>
      </c>
      <c r="D182" s="428">
        <v>1</v>
      </c>
      <c r="E182" s="428">
        <v>2</v>
      </c>
      <c r="F182" s="430">
        <v>2.4</v>
      </c>
      <c r="G182" s="430">
        <v>4</v>
      </c>
      <c r="H182" s="430">
        <v>0.85</v>
      </c>
      <c r="I182" s="430">
        <f t="shared" si="7"/>
        <v>16.32</v>
      </c>
      <c r="J182" s="431"/>
    </row>
    <row r="183" spans="1:10" s="6" customFormat="1">
      <c r="A183" s="427"/>
      <c r="B183" s="427" t="s">
        <v>909</v>
      </c>
      <c r="C183" s="428">
        <v>1</v>
      </c>
      <c r="D183" s="428">
        <v>1</v>
      </c>
      <c r="E183" s="428">
        <v>2</v>
      </c>
      <c r="F183" s="430">
        <v>3</v>
      </c>
      <c r="G183" s="430">
        <v>4</v>
      </c>
      <c r="H183" s="430">
        <v>0.85</v>
      </c>
      <c r="I183" s="430">
        <f t="shared" si="7"/>
        <v>20.399999999999999</v>
      </c>
      <c r="J183" s="431"/>
    </row>
    <row r="184" spans="1:10" s="6" customFormat="1">
      <c r="A184" s="427"/>
      <c r="B184" s="427" t="s">
        <v>910</v>
      </c>
      <c r="C184" s="428">
        <v>1</v>
      </c>
      <c r="D184" s="428">
        <v>1</v>
      </c>
      <c r="E184" s="428">
        <v>1</v>
      </c>
      <c r="F184" s="430">
        <v>4.2</v>
      </c>
      <c r="G184" s="430">
        <v>8.4</v>
      </c>
      <c r="H184" s="430">
        <v>0.85</v>
      </c>
      <c r="I184" s="430">
        <f t="shared" si="7"/>
        <v>29.99</v>
      </c>
      <c r="J184" s="431"/>
    </row>
    <row r="185" spans="1:10" s="6" customFormat="1">
      <c r="A185" s="427"/>
      <c r="B185" s="427" t="s">
        <v>1303</v>
      </c>
      <c r="C185" s="428">
        <v>-1</v>
      </c>
      <c r="D185" s="428">
        <v>1</v>
      </c>
      <c r="E185" s="428">
        <v>1</v>
      </c>
      <c r="F185" s="430">
        <v>3.4</v>
      </c>
      <c r="G185" s="430">
        <v>1.5</v>
      </c>
      <c r="H185" s="430">
        <v>0.85</v>
      </c>
      <c r="I185" s="430">
        <f t="shared" si="7"/>
        <v>-4.34</v>
      </c>
      <c r="J185" s="431"/>
    </row>
    <row r="186" spans="1:10" s="6" customFormat="1">
      <c r="A186" s="427"/>
      <c r="B186" s="427" t="s">
        <v>1304</v>
      </c>
      <c r="C186" s="428">
        <v>-1</v>
      </c>
      <c r="D186" s="428">
        <v>1</v>
      </c>
      <c r="E186" s="428">
        <v>1</v>
      </c>
      <c r="F186" s="430">
        <v>3.6</v>
      </c>
      <c r="G186" s="430">
        <v>1.5</v>
      </c>
      <c r="H186" s="430">
        <v>0.85</v>
      </c>
      <c r="I186" s="430">
        <f t="shared" si="7"/>
        <v>-4.59</v>
      </c>
      <c r="J186" s="431"/>
    </row>
    <row r="187" spans="1:10" s="6" customFormat="1">
      <c r="A187" s="427"/>
      <c r="B187" s="427" t="s">
        <v>911</v>
      </c>
      <c r="C187" s="428">
        <v>1</v>
      </c>
      <c r="D187" s="428">
        <v>1</v>
      </c>
      <c r="E187" s="428">
        <v>2</v>
      </c>
      <c r="F187" s="430">
        <v>2.2999999999999998</v>
      </c>
      <c r="G187" s="430">
        <v>2.7</v>
      </c>
      <c r="H187" s="430">
        <v>0.85</v>
      </c>
      <c r="I187" s="430">
        <f t="shared" si="7"/>
        <v>10.56</v>
      </c>
      <c r="J187" s="431"/>
    </row>
    <row r="188" spans="1:10" s="6" customFormat="1">
      <c r="A188" s="427"/>
      <c r="B188" s="427" t="s">
        <v>911</v>
      </c>
      <c r="C188" s="428">
        <v>1</v>
      </c>
      <c r="D188" s="428">
        <v>1</v>
      </c>
      <c r="E188" s="428">
        <v>2</v>
      </c>
      <c r="F188" s="430">
        <v>2.7</v>
      </c>
      <c r="G188" s="430">
        <v>4.2</v>
      </c>
      <c r="H188" s="430">
        <v>0.85</v>
      </c>
      <c r="I188" s="430">
        <f t="shared" si="7"/>
        <v>19.28</v>
      </c>
      <c r="J188" s="431"/>
    </row>
    <row r="189" spans="1:10" s="6" customFormat="1">
      <c r="A189" s="427"/>
      <c r="B189" s="427" t="s">
        <v>912</v>
      </c>
      <c r="C189" s="428">
        <v>1</v>
      </c>
      <c r="D189" s="428">
        <v>1</v>
      </c>
      <c r="E189" s="428">
        <v>1</v>
      </c>
      <c r="F189" s="430">
        <v>10.3</v>
      </c>
      <c r="G189" s="430">
        <v>5</v>
      </c>
      <c r="H189" s="430">
        <v>0.9</v>
      </c>
      <c r="I189" s="430">
        <f t="shared" si="7"/>
        <v>46.35</v>
      </c>
      <c r="J189" s="431"/>
    </row>
    <row r="190" spans="1:10" s="6" customFormat="1">
      <c r="A190" s="427"/>
      <c r="B190" s="427" t="s">
        <v>913</v>
      </c>
      <c r="C190" s="428">
        <v>1</v>
      </c>
      <c r="D190" s="428">
        <v>1</v>
      </c>
      <c r="E190" s="428">
        <v>1</v>
      </c>
      <c r="F190" s="430">
        <v>2.7</v>
      </c>
      <c r="G190" s="430">
        <v>7</v>
      </c>
      <c r="H190" s="430">
        <v>0.9</v>
      </c>
      <c r="I190" s="430">
        <f t="shared" si="7"/>
        <v>17.010000000000002</v>
      </c>
      <c r="J190" s="431"/>
    </row>
    <row r="191" spans="1:10" s="6" customFormat="1">
      <c r="A191" s="427"/>
      <c r="B191" s="427" t="s">
        <v>913</v>
      </c>
      <c r="C191" s="428">
        <v>1</v>
      </c>
      <c r="D191" s="428">
        <v>1</v>
      </c>
      <c r="E191" s="428">
        <v>1</v>
      </c>
      <c r="F191" s="430">
        <v>12.55</v>
      </c>
      <c r="G191" s="430">
        <v>3</v>
      </c>
      <c r="H191" s="430">
        <v>0.9</v>
      </c>
      <c r="I191" s="430">
        <f t="shared" si="7"/>
        <v>33.89</v>
      </c>
      <c r="J191" s="431"/>
    </row>
    <row r="192" spans="1:10" s="6" customFormat="1">
      <c r="A192" s="427"/>
      <c r="B192" s="427" t="s">
        <v>914</v>
      </c>
      <c r="C192" s="428">
        <v>-1</v>
      </c>
      <c r="D192" s="428">
        <v>1</v>
      </c>
      <c r="E192" s="428">
        <v>1</v>
      </c>
      <c r="F192" s="430">
        <v>3.65</v>
      </c>
      <c r="G192" s="430">
        <v>1.6</v>
      </c>
      <c r="H192" s="430">
        <v>0.9</v>
      </c>
      <c r="I192" s="430">
        <f t="shared" si="7"/>
        <v>-5.26</v>
      </c>
      <c r="J192" s="431"/>
    </row>
    <row r="193" spans="1:10" s="6" customFormat="1">
      <c r="A193" s="427"/>
      <c r="B193" s="427" t="s">
        <v>912</v>
      </c>
      <c r="C193" s="428">
        <v>1</v>
      </c>
      <c r="D193" s="428">
        <v>1</v>
      </c>
      <c r="E193" s="428">
        <v>1</v>
      </c>
      <c r="F193" s="430">
        <v>3.5</v>
      </c>
      <c r="G193" s="430">
        <v>6.3</v>
      </c>
      <c r="H193" s="430">
        <v>0.9</v>
      </c>
      <c r="I193" s="430">
        <f t="shared" si="7"/>
        <v>19.850000000000001</v>
      </c>
      <c r="J193" s="431"/>
    </row>
    <row r="194" spans="1:10" s="6" customFormat="1">
      <c r="A194" s="427"/>
      <c r="B194" s="427" t="s">
        <v>913</v>
      </c>
      <c r="C194" s="428">
        <v>1</v>
      </c>
      <c r="D194" s="428">
        <v>1</v>
      </c>
      <c r="E194" s="428">
        <v>1</v>
      </c>
      <c r="F194" s="430">
        <v>2.6</v>
      </c>
      <c r="G194" s="430">
        <v>5.0999999999999996</v>
      </c>
      <c r="H194" s="430">
        <v>0.9</v>
      </c>
      <c r="I194" s="430">
        <f t="shared" si="7"/>
        <v>11.93</v>
      </c>
      <c r="J194" s="431"/>
    </row>
    <row r="195" spans="1:10" s="6" customFormat="1">
      <c r="A195" s="427"/>
      <c r="B195" s="427" t="s">
        <v>915</v>
      </c>
      <c r="C195" s="428">
        <v>1</v>
      </c>
      <c r="D195" s="428">
        <v>1</v>
      </c>
      <c r="E195" s="428">
        <v>1</v>
      </c>
      <c r="F195" s="430">
        <v>3.95</v>
      </c>
      <c r="G195" s="430">
        <v>8.25</v>
      </c>
      <c r="H195" s="430">
        <v>0.85</v>
      </c>
      <c r="I195" s="430">
        <f t="shared" si="7"/>
        <v>27.7</v>
      </c>
      <c r="J195" s="431"/>
    </row>
    <row r="196" spans="1:10" s="6" customFormat="1">
      <c r="A196" s="427"/>
      <c r="B196" s="427" t="s">
        <v>916</v>
      </c>
      <c r="C196" s="428">
        <v>-1</v>
      </c>
      <c r="D196" s="428">
        <v>1</v>
      </c>
      <c r="E196" s="428">
        <v>1</v>
      </c>
      <c r="F196" s="430">
        <v>1.5</v>
      </c>
      <c r="G196" s="430">
        <v>3.55</v>
      </c>
      <c r="H196" s="430">
        <v>0.85</v>
      </c>
      <c r="I196" s="430">
        <f t="shared" si="7"/>
        <v>-4.53</v>
      </c>
      <c r="J196" s="431"/>
    </row>
    <row r="197" spans="1:10" s="6" customFormat="1">
      <c r="A197" s="427"/>
      <c r="B197" s="427" t="s">
        <v>907</v>
      </c>
      <c r="C197" s="428">
        <v>-1</v>
      </c>
      <c r="D197" s="428">
        <v>1</v>
      </c>
      <c r="E197" s="428">
        <v>1</v>
      </c>
      <c r="F197" s="430">
        <v>1.25</v>
      </c>
      <c r="G197" s="430">
        <v>3.55</v>
      </c>
      <c r="H197" s="430">
        <v>0.85</v>
      </c>
      <c r="I197" s="430">
        <f t="shared" si="7"/>
        <v>-3.77</v>
      </c>
      <c r="J197" s="431"/>
    </row>
    <row r="198" spans="1:10" s="6" customFormat="1">
      <c r="A198" s="427"/>
      <c r="B198" s="427" t="s">
        <v>917</v>
      </c>
      <c r="C198" s="428">
        <v>1</v>
      </c>
      <c r="D198" s="428">
        <v>1</v>
      </c>
      <c r="E198" s="428">
        <v>5</v>
      </c>
      <c r="F198" s="430">
        <v>4.55</v>
      </c>
      <c r="G198" s="430">
        <v>3.2</v>
      </c>
      <c r="H198" s="430">
        <v>0.85</v>
      </c>
      <c r="I198" s="430">
        <f t="shared" si="7"/>
        <v>61.88</v>
      </c>
      <c r="J198" s="431"/>
    </row>
    <row r="199" spans="1:10" s="6" customFormat="1">
      <c r="A199" s="427"/>
      <c r="B199" s="427" t="s">
        <v>918</v>
      </c>
      <c r="C199" s="428">
        <v>1</v>
      </c>
      <c r="D199" s="428">
        <v>1</v>
      </c>
      <c r="E199" s="428">
        <v>3</v>
      </c>
      <c r="F199" s="430">
        <v>4</v>
      </c>
      <c r="G199" s="430">
        <v>6.2</v>
      </c>
      <c r="H199" s="430">
        <v>0.85</v>
      </c>
      <c r="I199" s="430">
        <f t="shared" si="7"/>
        <v>63.24</v>
      </c>
      <c r="J199" s="431"/>
    </row>
    <row r="200" spans="1:10" s="6" customFormat="1">
      <c r="A200" s="427"/>
      <c r="B200" s="427" t="s">
        <v>916</v>
      </c>
      <c r="C200" s="428">
        <v>-1</v>
      </c>
      <c r="D200" s="428">
        <v>1</v>
      </c>
      <c r="E200" s="428">
        <v>3</v>
      </c>
      <c r="F200" s="430">
        <v>3.6</v>
      </c>
      <c r="G200" s="430">
        <v>1.3</v>
      </c>
      <c r="H200" s="430">
        <v>0.85</v>
      </c>
      <c r="I200" s="430">
        <f t="shared" si="7"/>
        <v>-11.93</v>
      </c>
      <c r="J200" s="431"/>
    </row>
    <row r="201" spans="1:10" s="6" customFormat="1">
      <c r="A201" s="427"/>
      <c r="B201" s="427" t="s">
        <v>907</v>
      </c>
      <c r="C201" s="428">
        <v>-1</v>
      </c>
      <c r="D201" s="428">
        <v>1</v>
      </c>
      <c r="E201" s="428">
        <v>3</v>
      </c>
      <c r="F201" s="430">
        <v>1.6</v>
      </c>
      <c r="G201" s="430">
        <v>1.2</v>
      </c>
      <c r="H201" s="430">
        <v>0.85</v>
      </c>
      <c r="I201" s="430">
        <f t="shared" si="7"/>
        <v>-4.9000000000000004</v>
      </c>
      <c r="J201" s="431"/>
    </row>
    <row r="202" spans="1:10" s="6" customFormat="1">
      <c r="A202" s="427"/>
      <c r="B202" s="427" t="s">
        <v>919</v>
      </c>
      <c r="C202" s="428">
        <v>1</v>
      </c>
      <c r="D202" s="428">
        <v>1</v>
      </c>
      <c r="E202" s="428">
        <v>6</v>
      </c>
      <c r="F202" s="430">
        <v>4</v>
      </c>
      <c r="G202" s="430">
        <v>2.4</v>
      </c>
      <c r="H202" s="430">
        <v>0.85</v>
      </c>
      <c r="I202" s="430">
        <f t="shared" si="7"/>
        <v>48.96</v>
      </c>
      <c r="J202" s="431"/>
    </row>
    <row r="203" spans="1:10" s="6" customFormat="1">
      <c r="A203" s="427"/>
      <c r="B203" s="427" t="s">
        <v>920</v>
      </c>
      <c r="C203" s="428">
        <v>1</v>
      </c>
      <c r="D203" s="428">
        <v>1</v>
      </c>
      <c r="E203" s="428">
        <v>1</v>
      </c>
      <c r="F203" s="430">
        <v>8.8000000000000007</v>
      </c>
      <c r="G203" s="430">
        <v>13.5</v>
      </c>
      <c r="H203" s="430">
        <v>0.9</v>
      </c>
      <c r="I203" s="430">
        <f t="shared" si="7"/>
        <v>106.92</v>
      </c>
      <c r="J203" s="431"/>
    </row>
    <row r="204" spans="1:10" s="6" customFormat="1">
      <c r="A204" s="427"/>
      <c r="B204" s="427" t="s">
        <v>921</v>
      </c>
      <c r="C204" s="428">
        <v>-1</v>
      </c>
      <c r="D204" s="428">
        <v>1</v>
      </c>
      <c r="E204" s="428">
        <v>1</v>
      </c>
      <c r="F204" s="430">
        <v>1.8</v>
      </c>
      <c r="G204" s="430">
        <v>1</v>
      </c>
      <c r="H204" s="430">
        <v>0.9</v>
      </c>
      <c r="I204" s="430">
        <f t="shared" si="7"/>
        <v>-1.62</v>
      </c>
      <c r="J204" s="431"/>
    </row>
    <row r="205" spans="1:10" s="6" customFormat="1">
      <c r="A205" s="427"/>
      <c r="B205" s="427" t="s">
        <v>907</v>
      </c>
      <c r="C205" s="428">
        <v>-1</v>
      </c>
      <c r="D205" s="428">
        <v>1</v>
      </c>
      <c r="E205" s="428">
        <v>1</v>
      </c>
      <c r="F205" s="430">
        <v>2</v>
      </c>
      <c r="G205" s="430">
        <v>1</v>
      </c>
      <c r="H205" s="430">
        <v>0.9</v>
      </c>
      <c r="I205" s="430">
        <f t="shared" si="7"/>
        <v>-1.8</v>
      </c>
      <c r="J205" s="431"/>
    </row>
    <row r="206" spans="1:10" s="6" customFormat="1">
      <c r="A206" s="427"/>
      <c r="B206" s="427" t="s">
        <v>907</v>
      </c>
      <c r="C206" s="428">
        <v>-1</v>
      </c>
      <c r="D206" s="428">
        <v>1</v>
      </c>
      <c r="E206" s="428">
        <v>1</v>
      </c>
      <c r="F206" s="430">
        <v>3.5</v>
      </c>
      <c r="G206" s="430">
        <v>1.4</v>
      </c>
      <c r="H206" s="430">
        <v>0.9</v>
      </c>
      <c r="I206" s="430">
        <f t="shared" si="7"/>
        <v>-4.41</v>
      </c>
      <c r="J206" s="431"/>
    </row>
    <row r="207" spans="1:10" s="6" customFormat="1">
      <c r="A207" s="427"/>
      <c r="B207" s="427" t="s">
        <v>922</v>
      </c>
      <c r="C207" s="428">
        <v>1</v>
      </c>
      <c r="D207" s="428">
        <v>1</v>
      </c>
      <c r="E207" s="428">
        <v>1</v>
      </c>
      <c r="F207" s="430">
        <v>12.6</v>
      </c>
      <c r="G207" s="430">
        <v>2.7</v>
      </c>
      <c r="H207" s="430">
        <v>0.9</v>
      </c>
      <c r="I207" s="430">
        <f t="shared" si="7"/>
        <v>30.62</v>
      </c>
      <c r="J207" s="431"/>
    </row>
    <row r="208" spans="1:10" s="6" customFormat="1">
      <c r="A208" s="427"/>
      <c r="B208" s="427" t="s">
        <v>921</v>
      </c>
      <c r="C208" s="428">
        <v>-1</v>
      </c>
      <c r="D208" s="428">
        <v>1</v>
      </c>
      <c r="E208" s="428">
        <v>1</v>
      </c>
      <c r="F208" s="430">
        <v>3.5</v>
      </c>
      <c r="G208" s="430">
        <v>1.55</v>
      </c>
      <c r="H208" s="430">
        <v>0.9</v>
      </c>
      <c r="I208" s="430">
        <f t="shared" si="7"/>
        <v>-4.88</v>
      </c>
      <c r="J208" s="431"/>
    </row>
    <row r="209" spans="1:10" s="6" customFormat="1">
      <c r="A209" s="427"/>
      <c r="B209" s="427" t="s">
        <v>923</v>
      </c>
      <c r="C209" s="428">
        <v>1</v>
      </c>
      <c r="D209" s="428">
        <v>1</v>
      </c>
      <c r="E209" s="428">
        <v>1</v>
      </c>
      <c r="F209" s="430">
        <v>9.1999999999999993</v>
      </c>
      <c r="G209" s="430">
        <v>3.75</v>
      </c>
      <c r="H209" s="430">
        <v>0.9</v>
      </c>
      <c r="I209" s="430">
        <f t="shared" si="7"/>
        <v>31.05</v>
      </c>
      <c r="J209" s="431"/>
    </row>
    <row r="210" spans="1:10" s="6" customFormat="1">
      <c r="A210" s="427"/>
      <c r="B210" s="427" t="s">
        <v>924</v>
      </c>
      <c r="C210" s="428">
        <v>1</v>
      </c>
      <c r="D210" s="428">
        <v>1</v>
      </c>
      <c r="E210" s="428">
        <v>1</v>
      </c>
      <c r="F210" s="430">
        <v>2.95</v>
      </c>
      <c r="G210" s="430">
        <v>3</v>
      </c>
      <c r="H210" s="430">
        <v>0.9</v>
      </c>
      <c r="I210" s="430">
        <f t="shared" si="7"/>
        <v>7.97</v>
      </c>
      <c r="J210" s="431"/>
    </row>
    <row r="211" spans="1:10" s="6" customFormat="1">
      <c r="A211" s="427"/>
      <c r="B211" s="427" t="s">
        <v>925</v>
      </c>
      <c r="C211" s="428">
        <v>1</v>
      </c>
      <c r="D211" s="428">
        <v>1</v>
      </c>
      <c r="E211" s="428">
        <v>3</v>
      </c>
      <c r="F211" s="430">
        <v>4.4000000000000004</v>
      </c>
      <c r="G211" s="430">
        <v>3</v>
      </c>
      <c r="H211" s="430">
        <v>0.85</v>
      </c>
      <c r="I211" s="430">
        <f t="shared" si="7"/>
        <v>33.659999999999997</v>
      </c>
      <c r="J211" s="431"/>
    </row>
    <row r="212" spans="1:10" s="6" customFormat="1">
      <c r="A212" s="427"/>
      <c r="B212" s="427" t="s">
        <v>926</v>
      </c>
      <c r="C212" s="428">
        <v>1</v>
      </c>
      <c r="D212" s="428">
        <v>1</v>
      </c>
      <c r="E212" s="428">
        <v>3</v>
      </c>
      <c r="F212" s="430">
        <v>4</v>
      </c>
      <c r="G212" s="430">
        <v>6.1</v>
      </c>
      <c r="H212" s="430">
        <v>0.85</v>
      </c>
      <c r="I212" s="430">
        <f t="shared" si="7"/>
        <v>62.22</v>
      </c>
      <c r="J212" s="431"/>
    </row>
    <row r="213" spans="1:10" s="6" customFormat="1">
      <c r="A213" s="427"/>
      <c r="B213" s="427" t="s">
        <v>927</v>
      </c>
      <c r="C213" s="428">
        <v>1</v>
      </c>
      <c r="D213" s="428">
        <v>1</v>
      </c>
      <c r="E213" s="428">
        <v>3</v>
      </c>
      <c r="F213" s="430">
        <v>1.3</v>
      </c>
      <c r="G213" s="430">
        <v>3.7</v>
      </c>
      <c r="H213" s="430">
        <v>0.85</v>
      </c>
      <c r="I213" s="430">
        <f t="shared" si="7"/>
        <v>12.27</v>
      </c>
      <c r="J213" s="431"/>
    </row>
    <row r="214" spans="1:10" s="6" customFormat="1">
      <c r="A214" s="427"/>
      <c r="B214" s="427" t="s">
        <v>907</v>
      </c>
      <c r="C214" s="428">
        <v>1</v>
      </c>
      <c r="D214" s="428">
        <v>1</v>
      </c>
      <c r="E214" s="428">
        <v>3</v>
      </c>
      <c r="F214" s="430">
        <v>1.6</v>
      </c>
      <c r="G214" s="430">
        <v>1.2</v>
      </c>
      <c r="H214" s="430">
        <v>0.85</v>
      </c>
      <c r="I214" s="430">
        <f t="shared" si="7"/>
        <v>4.9000000000000004</v>
      </c>
      <c r="J214" s="431"/>
    </row>
    <row r="215" spans="1:10" s="6" customFormat="1">
      <c r="A215" s="427"/>
      <c r="B215" s="427" t="s">
        <v>928</v>
      </c>
      <c r="C215" s="428">
        <v>1</v>
      </c>
      <c r="D215" s="428">
        <v>1</v>
      </c>
      <c r="E215" s="428">
        <v>1</v>
      </c>
      <c r="F215" s="430">
        <v>4.5199999999999996</v>
      </c>
      <c r="G215" s="430">
        <v>3.82</v>
      </c>
      <c r="H215" s="430">
        <v>0.6</v>
      </c>
      <c r="I215" s="430">
        <f t="shared" si="7"/>
        <v>10.36</v>
      </c>
      <c r="J215" s="431"/>
    </row>
    <row r="216" spans="1:10" s="6" customFormat="1">
      <c r="A216" s="427"/>
      <c r="B216" s="427" t="s">
        <v>929</v>
      </c>
      <c r="C216" s="428"/>
      <c r="D216" s="428"/>
      <c r="E216" s="428"/>
      <c r="F216" s="430"/>
      <c r="G216" s="430"/>
      <c r="H216" s="430"/>
      <c r="I216" s="430"/>
      <c r="J216" s="431"/>
    </row>
    <row r="217" spans="1:10" s="6" customFormat="1">
      <c r="A217" s="427"/>
      <c r="B217" s="432" t="s">
        <v>930</v>
      </c>
      <c r="C217" s="428"/>
      <c r="D217" s="428"/>
      <c r="E217" s="428"/>
      <c r="F217" s="430"/>
      <c r="G217" s="430"/>
      <c r="H217" s="430"/>
      <c r="I217" s="430"/>
      <c r="J217" s="431"/>
    </row>
    <row r="218" spans="1:10" s="6" customFormat="1">
      <c r="A218" s="427"/>
      <c r="B218" s="427" t="s">
        <v>931</v>
      </c>
      <c r="C218" s="428">
        <v>1</v>
      </c>
      <c r="D218" s="428">
        <v>1</v>
      </c>
      <c r="E218" s="428">
        <v>79</v>
      </c>
      <c r="F218" s="430">
        <v>0.3</v>
      </c>
      <c r="G218" s="430">
        <v>0.45</v>
      </c>
      <c r="H218" s="430">
        <v>1.65</v>
      </c>
      <c r="I218" s="430">
        <f t="shared" ref="I218:I226" si="8">PRODUCT(C218:H218)</f>
        <v>17.600000000000001</v>
      </c>
      <c r="J218" s="431"/>
    </row>
    <row r="219" spans="1:10" s="6" customFormat="1">
      <c r="A219" s="427"/>
      <c r="B219" s="427" t="s">
        <v>75</v>
      </c>
      <c r="C219" s="428">
        <v>1</v>
      </c>
      <c r="D219" s="428">
        <v>1</v>
      </c>
      <c r="E219" s="428">
        <v>54</v>
      </c>
      <c r="F219" s="430">
        <v>0.3</v>
      </c>
      <c r="G219" s="430">
        <v>0.6</v>
      </c>
      <c r="H219" s="430">
        <v>1.65</v>
      </c>
      <c r="I219" s="430">
        <f t="shared" si="8"/>
        <v>16.04</v>
      </c>
      <c r="J219" s="431"/>
    </row>
    <row r="220" spans="1:10" s="6" customFormat="1">
      <c r="A220" s="427"/>
      <c r="B220" s="427" t="s">
        <v>76</v>
      </c>
      <c r="C220" s="428">
        <v>1</v>
      </c>
      <c r="D220" s="428">
        <v>1</v>
      </c>
      <c r="E220" s="428">
        <v>3</v>
      </c>
      <c r="F220" s="430">
        <v>0.3</v>
      </c>
      <c r="G220" s="430">
        <v>0.6</v>
      </c>
      <c r="H220" s="430">
        <v>1.65</v>
      </c>
      <c r="I220" s="430">
        <f t="shared" si="8"/>
        <v>0.89</v>
      </c>
      <c r="J220" s="431"/>
    </row>
    <row r="221" spans="1:10" s="6" customFormat="1">
      <c r="A221" s="427"/>
      <c r="B221" s="427" t="s">
        <v>485</v>
      </c>
      <c r="C221" s="428">
        <v>1</v>
      </c>
      <c r="D221" s="428">
        <v>1</v>
      </c>
      <c r="E221" s="428">
        <v>7</v>
      </c>
      <c r="F221" s="430">
        <v>0.3</v>
      </c>
      <c r="G221" s="430">
        <v>0.75</v>
      </c>
      <c r="H221" s="430">
        <v>1.65</v>
      </c>
      <c r="I221" s="430">
        <f t="shared" si="8"/>
        <v>2.6</v>
      </c>
      <c r="J221" s="431"/>
    </row>
    <row r="222" spans="1:10" s="6" customFormat="1">
      <c r="A222" s="427"/>
      <c r="B222" s="427" t="s">
        <v>487</v>
      </c>
      <c r="C222" s="428">
        <v>1</v>
      </c>
      <c r="D222" s="428">
        <v>1</v>
      </c>
      <c r="E222" s="428">
        <v>1</v>
      </c>
      <c r="F222" s="430">
        <v>0.38</v>
      </c>
      <c r="G222" s="430">
        <v>0.75</v>
      </c>
      <c r="H222" s="430">
        <v>1.65</v>
      </c>
      <c r="I222" s="430">
        <f t="shared" si="8"/>
        <v>0.47</v>
      </c>
      <c r="J222" s="431"/>
    </row>
    <row r="223" spans="1:10" s="6" customFormat="1">
      <c r="A223" s="427"/>
      <c r="B223" s="427" t="s">
        <v>932</v>
      </c>
      <c r="C223" s="428">
        <v>1</v>
      </c>
      <c r="D223" s="428">
        <v>1</v>
      </c>
      <c r="E223" s="428">
        <v>2</v>
      </c>
      <c r="F223" s="430">
        <v>9.92</v>
      </c>
      <c r="G223" s="430">
        <v>0.23</v>
      </c>
      <c r="H223" s="430">
        <v>1.65</v>
      </c>
      <c r="I223" s="430">
        <f t="shared" si="8"/>
        <v>7.53</v>
      </c>
      <c r="J223" s="431"/>
    </row>
    <row r="224" spans="1:10" s="6" customFormat="1">
      <c r="A224" s="427"/>
      <c r="B224" s="427" t="s">
        <v>933</v>
      </c>
      <c r="C224" s="428">
        <v>1</v>
      </c>
      <c r="D224" s="428">
        <v>1</v>
      </c>
      <c r="E224" s="428">
        <v>1</v>
      </c>
      <c r="F224" s="430">
        <v>11.52</v>
      </c>
      <c r="G224" s="430">
        <v>0.23</v>
      </c>
      <c r="H224" s="430">
        <v>1.65</v>
      </c>
      <c r="I224" s="430">
        <f t="shared" si="8"/>
        <v>4.37</v>
      </c>
      <c r="J224" s="431"/>
    </row>
    <row r="225" spans="1:10" s="6" customFormat="1">
      <c r="A225" s="427"/>
      <c r="B225" s="432" t="s">
        <v>934</v>
      </c>
      <c r="C225" s="428"/>
      <c r="D225" s="428"/>
      <c r="E225" s="428"/>
      <c r="F225" s="430"/>
      <c r="G225" s="430"/>
      <c r="H225" s="430"/>
      <c r="I225" s="433"/>
      <c r="J225" s="431"/>
    </row>
    <row r="226" spans="1:10" s="6" customFormat="1">
      <c r="A226" s="427"/>
      <c r="B226" s="427" t="s">
        <v>935</v>
      </c>
      <c r="C226" s="428">
        <v>5</v>
      </c>
      <c r="D226" s="428">
        <v>1</v>
      </c>
      <c r="E226" s="428">
        <v>1</v>
      </c>
      <c r="F226" s="429">
        <v>47.03</v>
      </c>
      <c r="G226" s="430">
        <v>0.23</v>
      </c>
      <c r="H226" s="430">
        <v>0.4</v>
      </c>
      <c r="I226" s="430">
        <f t="shared" si="8"/>
        <v>21.63</v>
      </c>
      <c r="J226" s="431"/>
    </row>
    <row r="227" spans="1:10" s="6" customFormat="1">
      <c r="A227" s="427"/>
      <c r="B227" s="427" t="s">
        <v>1305</v>
      </c>
      <c r="C227" s="428">
        <v>5</v>
      </c>
      <c r="D227" s="428">
        <v>1</v>
      </c>
      <c r="E227" s="428">
        <v>3</v>
      </c>
      <c r="F227" s="429">
        <v>8.8949999999999996</v>
      </c>
      <c r="G227" s="430">
        <v>0.23</v>
      </c>
      <c r="H227" s="430">
        <v>0.4</v>
      </c>
      <c r="I227" s="430">
        <f>PRODUCT(C227:H227)</f>
        <v>12.28</v>
      </c>
      <c r="J227" s="431"/>
    </row>
    <row r="228" spans="1:10" s="6" customFormat="1">
      <c r="A228" s="427"/>
      <c r="B228" s="427" t="s">
        <v>1306</v>
      </c>
      <c r="C228" s="428">
        <v>5</v>
      </c>
      <c r="D228" s="428">
        <v>1</v>
      </c>
      <c r="E228" s="428">
        <v>2</v>
      </c>
      <c r="F228" s="429">
        <v>4</v>
      </c>
      <c r="G228" s="430">
        <v>0.23</v>
      </c>
      <c r="H228" s="430">
        <v>0.4</v>
      </c>
      <c r="I228" s="430">
        <f>PRODUCT(C228:H228)</f>
        <v>3.68</v>
      </c>
      <c r="J228" s="431"/>
    </row>
    <row r="229" spans="1:10" s="6" customFormat="1">
      <c r="A229" s="427"/>
      <c r="B229" s="427" t="s">
        <v>93</v>
      </c>
      <c r="C229" s="428">
        <v>5</v>
      </c>
      <c r="D229" s="428">
        <v>1</v>
      </c>
      <c r="E229" s="428">
        <v>2</v>
      </c>
      <c r="F229" s="429">
        <v>1.2</v>
      </c>
      <c r="G229" s="430">
        <v>0.23</v>
      </c>
      <c r="H229" s="430">
        <v>0.4</v>
      </c>
      <c r="I229" s="430">
        <f>PRODUCT(C229:H229)</f>
        <v>1.1000000000000001</v>
      </c>
      <c r="J229" s="431"/>
    </row>
    <row r="230" spans="1:10" s="6" customFormat="1">
      <c r="A230" s="427"/>
      <c r="B230" s="427" t="s">
        <v>853</v>
      </c>
      <c r="C230" s="428">
        <v>5</v>
      </c>
      <c r="D230" s="428">
        <v>1</v>
      </c>
      <c r="E230" s="428">
        <v>4</v>
      </c>
      <c r="F230" s="429">
        <v>3.3849999999999998</v>
      </c>
      <c r="G230" s="430">
        <v>0.23</v>
      </c>
      <c r="H230" s="430">
        <v>0.4</v>
      </c>
      <c r="I230" s="430">
        <f>PRODUCT(C230:H230)</f>
        <v>6.23</v>
      </c>
      <c r="J230" s="431"/>
    </row>
    <row r="231" spans="1:10" s="6" customFormat="1">
      <c r="A231" s="427"/>
      <c r="B231" s="427" t="s">
        <v>853</v>
      </c>
      <c r="C231" s="428">
        <v>5</v>
      </c>
      <c r="D231" s="428">
        <v>1</v>
      </c>
      <c r="E231" s="428">
        <v>2</v>
      </c>
      <c r="F231" s="429">
        <v>3.35</v>
      </c>
      <c r="G231" s="430">
        <v>0.23</v>
      </c>
      <c r="H231" s="430">
        <v>0.4</v>
      </c>
      <c r="I231" s="430">
        <f>PRODUCT(C231:H231)</f>
        <v>3.08</v>
      </c>
      <c r="J231" s="431"/>
    </row>
    <row r="232" spans="1:10" s="6" customFormat="1">
      <c r="A232" s="427"/>
      <c r="B232" s="432" t="s">
        <v>144</v>
      </c>
      <c r="C232" s="428"/>
      <c r="D232" s="428"/>
      <c r="E232" s="428"/>
      <c r="F232" s="429"/>
      <c r="G232" s="430"/>
      <c r="H232" s="430"/>
      <c r="I232" s="433"/>
      <c r="J232" s="431"/>
    </row>
    <row r="233" spans="1:10" s="6" customFormat="1">
      <c r="A233" s="427"/>
      <c r="B233" s="427" t="s">
        <v>1307</v>
      </c>
      <c r="C233" s="428">
        <v>1</v>
      </c>
      <c r="D233" s="428">
        <v>1</v>
      </c>
      <c r="E233" s="428">
        <v>8</v>
      </c>
      <c r="F233" s="429">
        <v>6.06</v>
      </c>
      <c r="G233" s="430">
        <v>0.23</v>
      </c>
      <c r="H233" s="430">
        <v>0.4</v>
      </c>
      <c r="I233" s="430">
        <f t="shared" ref="I233:I249" si="9">PRODUCT(C233:H233)</f>
        <v>4.46</v>
      </c>
      <c r="J233" s="431"/>
    </row>
    <row r="234" spans="1:10" s="6" customFormat="1">
      <c r="A234" s="427"/>
      <c r="B234" s="427" t="s">
        <v>93</v>
      </c>
      <c r="C234" s="428">
        <v>1</v>
      </c>
      <c r="D234" s="428">
        <v>1</v>
      </c>
      <c r="E234" s="428">
        <v>12</v>
      </c>
      <c r="F234" s="429">
        <v>1.9</v>
      </c>
      <c r="G234" s="430">
        <v>0.23</v>
      </c>
      <c r="H234" s="430">
        <v>0.4</v>
      </c>
      <c r="I234" s="430">
        <f t="shared" si="9"/>
        <v>2.1</v>
      </c>
      <c r="J234" s="431"/>
    </row>
    <row r="235" spans="1:10" s="6" customFormat="1">
      <c r="A235" s="427"/>
      <c r="B235" s="427" t="s">
        <v>93</v>
      </c>
      <c r="C235" s="428">
        <v>1</v>
      </c>
      <c r="D235" s="428">
        <v>1</v>
      </c>
      <c r="E235" s="428">
        <v>1</v>
      </c>
      <c r="F235" s="429">
        <v>3.53</v>
      </c>
      <c r="G235" s="430">
        <v>0.23</v>
      </c>
      <c r="H235" s="430">
        <v>0.4</v>
      </c>
      <c r="I235" s="430">
        <f t="shared" si="9"/>
        <v>0.32</v>
      </c>
      <c r="J235" s="431"/>
    </row>
    <row r="236" spans="1:10" s="6" customFormat="1">
      <c r="A236" s="427"/>
      <c r="B236" s="427" t="s">
        <v>1308</v>
      </c>
      <c r="C236" s="428">
        <v>1</v>
      </c>
      <c r="D236" s="428">
        <v>1</v>
      </c>
      <c r="E236" s="428">
        <v>2</v>
      </c>
      <c r="F236" s="429">
        <v>3.08</v>
      </c>
      <c r="G236" s="430">
        <v>0.23</v>
      </c>
      <c r="H236" s="430">
        <v>0.4</v>
      </c>
      <c r="I236" s="430">
        <f t="shared" si="9"/>
        <v>0.56999999999999995</v>
      </c>
      <c r="J236" s="431"/>
    </row>
    <row r="237" spans="1:10" s="6" customFormat="1">
      <c r="A237" s="427"/>
      <c r="B237" s="427" t="s">
        <v>853</v>
      </c>
      <c r="C237" s="428">
        <v>1</v>
      </c>
      <c r="D237" s="428">
        <v>1</v>
      </c>
      <c r="E237" s="428">
        <v>1</v>
      </c>
      <c r="F237" s="429">
        <v>4.0949999999999998</v>
      </c>
      <c r="G237" s="430">
        <v>0.23</v>
      </c>
      <c r="H237" s="430">
        <v>0.4</v>
      </c>
      <c r="I237" s="430">
        <f t="shared" si="9"/>
        <v>0.38</v>
      </c>
      <c r="J237" s="431"/>
    </row>
    <row r="238" spans="1:10" s="6" customFormat="1">
      <c r="A238" s="427"/>
      <c r="B238" s="427" t="s">
        <v>853</v>
      </c>
      <c r="C238" s="428">
        <v>1</v>
      </c>
      <c r="D238" s="428">
        <v>1</v>
      </c>
      <c r="E238" s="428">
        <v>1</v>
      </c>
      <c r="F238" s="429">
        <v>1.0349999999999999</v>
      </c>
      <c r="G238" s="430">
        <v>0.23</v>
      </c>
      <c r="H238" s="430">
        <v>0.4</v>
      </c>
      <c r="I238" s="430">
        <f t="shared" si="9"/>
        <v>0.1</v>
      </c>
      <c r="J238" s="431"/>
    </row>
    <row r="239" spans="1:10" s="6" customFormat="1">
      <c r="A239" s="427"/>
      <c r="B239" s="427" t="s">
        <v>853</v>
      </c>
      <c r="C239" s="428">
        <v>1</v>
      </c>
      <c r="D239" s="428">
        <v>1</v>
      </c>
      <c r="E239" s="428">
        <v>2</v>
      </c>
      <c r="F239" s="429">
        <v>4.83</v>
      </c>
      <c r="G239" s="430">
        <v>0.23</v>
      </c>
      <c r="H239" s="430">
        <v>0.4</v>
      </c>
      <c r="I239" s="430">
        <f t="shared" si="9"/>
        <v>0.89</v>
      </c>
      <c r="J239" s="431"/>
    </row>
    <row r="240" spans="1:10" s="6" customFormat="1">
      <c r="A240" s="427"/>
      <c r="B240" s="427" t="s">
        <v>853</v>
      </c>
      <c r="C240" s="428">
        <v>1</v>
      </c>
      <c r="D240" s="428">
        <v>1</v>
      </c>
      <c r="E240" s="428">
        <v>2</v>
      </c>
      <c r="F240" s="429">
        <v>7.66</v>
      </c>
      <c r="G240" s="430">
        <v>0.23</v>
      </c>
      <c r="H240" s="430">
        <v>0.4</v>
      </c>
      <c r="I240" s="430">
        <f t="shared" si="9"/>
        <v>1.41</v>
      </c>
      <c r="J240" s="431"/>
    </row>
    <row r="241" spans="1:10" s="6" customFormat="1">
      <c r="A241" s="427"/>
      <c r="B241" s="427" t="s">
        <v>853</v>
      </c>
      <c r="C241" s="428">
        <v>1</v>
      </c>
      <c r="D241" s="428">
        <v>1</v>
      </c>
      <c r="E241" s="428">
        <v>3</v>
      </c>
      <c r="F241" s="429">
        <v>2.7949999999999999</v>
      </c>
      <c r="G241" s="430">
        <v>0.23</v>
      </c>
      <c r="H241" s="430">
        <v>0.4</v>
      </c>
      <c r="I241" s="430">
        <f t="shared" si="9"/>
        <v>0.77</v>
      </c>
      <c r="J241" s="431"/>
    </row>
    <row r="242" spans="1:10" s="6" customFormat="1">
      <c r="A242" s="427"/>
      <c r="B242" s="427" t="s">
        <v>853</v>
      </c>
      <c r="C242" s="428">
        <v>1</v>
      </c>
      <c r="D242" s="428">
        <v>1</v>
      </c>
      <c r="E242" s="428">
        <v>2</v>
      </c>
      <c r="F242" s="429">
        <v>2.1</v>
      </c>
      <c r="G242" s="430">
        <v>0.23</v>
      </c>
      <c r="H242" s="430">
        <v>0.4</v>
      </c>
      <c r="I242" s="430">
        <f t="shared" si="9"/>
        <v>0.39</v>
      </c>
      <c r="J242" s="431"/>
    </row>
    <row r="243" spans="1:10" s="6" customFormat="1">
      <c r="A243" s="427"/>
      <c r="B243" s="427" t="s">
        <v>853</v>
      </c>
      <c r="C243" s="428">
        <v>1</v>
      </c>
      <c r="D243" s="428">
        <v>1</v>
      </c>
      <c r="E243" s="428">
        <v>1</v>
      </c>
      <c r="F243" s="429">
        <v>1.905</v>
      </c>
      <c r="G243" s="430">
        <v>0.23</v>
      </c>
      <c r="H243" s="430">
        <v>0.4</v>
      </c>
      <c r="I243" s="430">
        <f t="shared" si="9"/>
        <v>0.18</v>
      </c>
      <c r="J243" s="431"/>
    </row>
    <row r="244" spans="1:10" s="6" customFormat="1">
      <c r="A244" s="427"/>
      <c r="B244" s="427" t="s">
        <v>1309</v>
      </c>
      <c r="C244" s="428">
        <v>1</v>
      </c>
      <c r="D244" s="428">
        <v>1</v>
      </c>
      <c r="E244" s="428">
        <v>2</v>
      </c>
      <c r="F244" s="429">
        <v>9.2949999999999999</v>
      </c>
      <c r="G244" s="430">
        <v>0.23</v>
      </c>
      <c r="H244" s="430">
        <v>0.4</v>
      </c>
      <c r="I244" s="430">
        <f t="shared" si="9"/>
        <v>1.71</v>
      </c>
      <c r="J244" s="431"/>
    </row>
    <row r="245" spans="1:10" s="6" customFormat="1">
      <c r="A245" s="427"/>
      <c r="B245" s="427" t="s">
        <v>853</v>
      </c>
      <c r="C245" s="428">
        <v>1</v>
      </c>
      <c r="D245" s="428">
        <v>1</v>
      </c>
      <c r="E245" s="428">
        <v>2</v>
      </c>
      <c r="F245" s="429">
        <v>4.2300000000000004</v>
      </c>
      <c r="G245" s="430">
        <v>0.23</v>
      </c>
      <c r="H245" s="430">
        <v>0.4</v>
      </c>
      <c r="I245" s="430">
        <f t="shared" si="9"/>
        <v>0.78</v>
      </c>
      <c r="J245" s="431"/>
    </row>
    <row r="246" spans="1:10" s="6" customFormat="1">
      <c r="A246" s="427"/>
      <c r="B246" s="427" t="s">
        <v>1310</v>
      </c>
      <c r="C246" s="428">
        <v>1</v>
      </c>
      <c r="D246" s="428">
        <v>1</v>
      </c>
      <c r="E246" s="428">
        <v>1</v>
      </c>
      <c r="F246" s="429">
        <v>6.2</v>
      </c>
      <c r="G246" s="430">
        <v>0.23</v>
      </c>
      <c r="H246" s="430">
        <v>0.4</v>
      </c>
      <c r="I246" s="430">
        <f t="shared" si="9"/>
        <v>0.56999999999999995</v>
      </c>
      <c r="J246" s="431"/>
    </row>
    <row r="247" spans="1:10" s="6" customFormat="1">
      <c r="A247" s="427"/>
      <c r="B247" s="427" t="s">
        <v>853</v>
      </c>
      <c r="C247" s="428">
        <v>1</v>
      </c>
      <c r="D247" s="428">
        <v>1</v>
      </c>
      <c r="E247" s="428">
        <v>2</v>
      </c>
      <c r="F247" s="429">
        <v>3.6949999999999998</v>
      </c>
      <c r="G247" s="430">
        <v>0.23</v>
      </c>
      <c r="H247" s="430">
        <v>0.4</v>
      </c>
      <c r="I247" s="430">
        <f t="shared" si="9"/>
        <v>0.68</v>
      </c>
      <c r="J247" s="431"/>
    </row>
    <row r="248" spans="1:10" s="6" customFormat="1">
      <c r="A248" s="427"/>
      <c r="B248" s="427" t="s">
        <v>93</v>
      </c>
      <c r="C248" s="428">
        <v>1</v>
      </c>
      <c r="D248" s="428">
        <v>1</v>
      </c>
      <c r="E248" s="428">
        <v>2</v>
      </c>
      <c r="F248" s="429">
        <v>3.645</v>
      </c>
      <c r="G248" s="430">
        <v>0.23</v>
      </c>
      <c r="H248" s="430">
        <v>0.4</v>
      </c>
      <c r="I248" s="433">
        <f t="shared" si="9"/>
        <v>0.67</v>
      </c>
      <c r="J248" s="431"/>
    </row>
    <row r="249" spans="1:10" s="6" customFormat="1">
      <c r="A249" s="427"/>
      <c r="B249" s="427" t="s">
        <v>1311</v>
      </c>
      <c r="C249" s="428">
        <v>1</v>
      </c>
      <c r="D249" s="428">
        <v>1</v>
      </c>
      <c r="E249" s="428">
        <v>2</v>
      </c>
      <c r="F249" s="429">
        <v>7.6680000000000001</v>
      </c>
      <c r="G249" s="430">
        <v>0.23</v>
      </c>
      <c r="H249" s="430">
        <v>0.4</v>
      </c>
      <c r="I249" s="433">
        <f t="shared" si="9"/>
        <v>1.41</v>
      </c>
      <c r="J249" s="431"/>
    </row>
    <row r="250" spans="1:10" s="6" customFormat="1">
      <c r="A250" s="427"/>
      <c r="B250" s="432" t="s">
        <v>936</v>
      </c>
      <c r="C250" s="428"/>
      <c r="D250" s="428"/>
      <c r="E250" s="428"/>
      <c r="F250" s="430"/>
      <c r="G250" s="430"/>
      <c r="H250" s="430"/>
      <c r="I250" s="430"/>
      <c r="J250" s="431"/>
    </row>
    <row r="251" spans="1:10" s="6" customFormat="1">
      <c r="A251" s="427"/>
      <c r="B251" s="427" t="s">
        <v>931</v>
      </c>
      <c r="C251" s="428">
        <v>1</v>
      </c>
      <c r="D251" s="428">
        <v>1</v>
      </c>
      <c r="E251" s="428">
        <v>79</v>
      </c>
      <c r="F251" s="430">
        <v>0.3</v>
      </c>
      <c r="G251" s="430">
        <v>0.45</v>
      </c>
      <c r="H251" s="430">
        <v>0.4</v>
      </c>
      <c r="I251" s="430">
        <f t="shared" ref="I251:I257" si="10">PRODUCT(C251:H251)</f>
        <v>4.2699999999999996</v>
      </c>
      <c r="J251" s="431"/>
    </row>
    <row r="252" spans="1:10" s="6" customFormat="1">
      <c r="A252" s="427"/>
      <c r="B252" s="427" t="s">
        <v>75</v>
      </c>
      <c r="C252" s="428">
        <v>1</v>
      </c>
      <c r="D252" s="428">
        <v>1</v>
      </c>
      <c r="E252" s="428">
        <v>54</v>
      </c>
      <c r="F252" s="430">
        <v>0.3</v>
      </c>
      <c r="G252" s="430">
        <v>0.6</v>
      </c>
      <c r="H252" s="430">
        <v>0.4</v>
      </c>
      <c r="I252" s="430">
        <f t="shared" si="10"/>
        <v>3.89</v>
      </c>
      <c r="J252" s="431"/>
    </row>
    <row r="253" spans="1:10" s="6" customFormat="1">
      <c r="A253" s="427"/>
      <c r="B253" s="427" t="s">
        <v>76</v>
      </c>
      <c r="C253" s="428">
        <v>1</v>
      </c>
      <c r="D253" s="428">
        <v>1</v>
      </c>
      <c r="E253" s="428">
        <v>3</v>
      </c>
      <c r="F253" s="430">
        <v>0.3</v>
      </c>
      <c r="G253" s="430">
        <v>0.6</v>
      </c>
      <c r="H253" s="430">
        <v>0.4</v>
      </c>
      <c r="I253" s="430">
        <f t="shared" si="10"/>
        <v>0.22</v>
      </c>
      <c r="J253" s="431"/>
    </row>
    <row r="254" spans="1:10" s="6" customFormat="1">
      <c r="A254" s="427"/>
      <c r="B254" s="427" t="s">
        <v>485</v>
      </c>
      <c r="C254" s="428">
        <v>1</v>
      </c>
      <c r="D254" s="428">
        <v>1</v>
      </c>
      <c r="E254" s="428">
        <v>7</v>
      </c>
      <c r="F254" s="430">
        <v>0.3</v>
      </c>
      <c r="G254" s="430">
        <v>0.75</v>
      </c>
      <c r="H254" s="430">
        <v>0.4</v>
      </c>
      <c r="I254" s="430">
        <f t="shared" si="10"/>
        <v>0.63</v>
      </c>
      <c r="J254" s="431"/>
    </row>
    <row r="255" spans="1:10" s="6" customFormat="1">
      <c r="A255" s="427"/>
      <c r="B255" s="427" t="s">
        <v>487</v>
      </c>
      <c r="C255" s="428">
        <v>1</v>
      </c>
      <c r="D255" s="428">
        <v>1</v>
      </c>
      <c r="E255" s="428">
        <v>1</v>
      </c>
      <c r="F255" s="430">
        <v>0.38</v>
      </c>
      <c r="G255" s="430">
        <v>0.75</v>
      </c>
      <c r="H255" s="430">
        <v>0.4</v>
      </c>
      <c r="I255" s="430">
        <f t="shared" si="10"/>
        <v>0.11</v>
      </c>
      <c r="J255" s="431"/>
    </row>
    <row r="256" spans="1:10" s="6" customFormat="1">
      <c r="A256" s="427"/>
      <c r="B256" s="427" t="s">
        <v>932</v>
      </c>
      <c r="C256" s="428">
        <v>1</v>
      </c>
      <c r="D256" s="428">
        <v>1</v>
      </c>
      <c r="E256" s="428">
        <v>2</v>
      </c>
      <c r="F256" s="430">
        <v>9.92</v>
      </c>
      <c r="G256" s="430">
        <v>0.23</v>
      </c>
      <c r="H256" s="430">
        <v>0.4</v>
      </c>
      <c r="I256" s="430">
        <f t="shared" si="10"/>
        <v>1.83</v>
      </c>
      <c r="J256" s="431"/>
    </row>
    <row r="257" spans="1:10" s="6" customFormat="1">
      <c r="A257" s="427"/>
      <c r="B257" s="427" t="s">
        <v>933</v>
      </c>
      <c r="C257" s="428">
        <v>1</v>
      </c>
      <c r="D257" s="428">
        <v>1</v>
      </c>
      <c r="E257" s="428">
        <v>1</v>
      </c>
      <c r="F257" s="430">
        <v>11.52</v>
      </c>
      <c r="G257" s="430">
        <v>0.23</v>
      </c>
      <c r="H257" s="430">
        <v>0.4</v>
      </c>
      <c r="I257" s="430">
        <f t="shared" si="10"/>
        <v>1.06</v>
      </c>
      <c r="J257" s="431"/>
    </row>
    <row r="258" spans="1:10" s="6" customFormat="1">
      <c r="A258" s="427"/>
      <c r="B258" s="432" t="s">
        <v>937</v>
      </c>
      <c r="C258" s="428"/>
      <c r="D258" s="428"/>
      <c r="E258" s="428"/>
      <c r="F258" s="430"/>
      <c r="G258" s="430"/>
      <c r="H258" s="430"/>
      <c r="I258" s="433"/>
      <c r="J258" s="431"/>
    </row>
    <row r="259" spans="1:10" s="6" customFormat="1">
      <c r="A259" s="427"/>
      <c r="B259" s="427" t="s">
        <v>931</v>
      </c>
      <c r="C259" s="428">
        <v>-1</v>
      </c>
      <c r="D259" s="428">
        <v>1</v>
      </c>
      <c r="E259" s="428">
        <v>79</v>
      </c>
      <c r="F259" s="430">
        <v>0.3</v>
      </c>
      <c r="G259" s="430">
        <v>0.45</v>
      </c>
      <c r="H259" s="430">
        <v>0.4</v>
      </c>
      <c r="I259" s="430">
        <f>PRODUCT(C259:H259)</f>
        <v>-4.2699999999999996</v>
      </c>
      <c r="J259" s="431"/>
    </row>
    <row r="260" spans="1:10" s="6" customFormat="1">
      <c r="A260" s="427"/>
      <c r="B260" s="427" t="s">
        <v>75</v>
      </c>
      <c r="C260" s="428">
        <v>-1</v>
      </c>
      <c r="D260" s="428">
        <v>1</v>
      </c>
      <c r="E260" s="428">
        <v>54</v>
      </c>
      <c r="F260" s="430">
        <v>0.3</v>
      </c>
      <c r="G260" s="430">
        <v>0.6</v>
      </c>
      <c r="H260" s="430">
        <v>0.4</v>
      </c>
      <c r="I260" s="430">
        <f>PRODUCT(C260:H260)</f>
        <v>-3.89</v>
      </c>
      <c r="J260" s="431"/>
    </row>
    <row r="261" spans="1:10" s="6" customFormat="1">
      <c r="A261" s="427"/>
      <c r="B261" s="427" t="s">
        <v>76</v>
      </c>
      <c r="C261" s="428">
        <v>-1</v>
      </c>
      <c r="D261" s="428">
        <v>1</v>
      </c>
      <c r="E261" s="428">
        <v>3</v>
      </c>
      <c r="F261" s="430">
        <v>0.3</v>
      </c>
      <c r="G261" s="430">
        <v>0.6</v>
      </c>
      <c r="H261" s="430">
        <v>0.4</v>
      </c>
      <c r="I261" s="430">
        <f>PRODUCT(C261:H261)</f>
        <v>-0.22</v>
      </c>
      <c r="J261" s="431"/>
    </row>
    <row r="262" spans="1:10" s="6" customFormat="1">
      <c r="A262" s="427"/>
      <c r="B262" s="427" t="s">
        <v>485</v>
      </c>
      <c r="C262" s="428">
        <v>-1</v>
      </c>
      <c r="D262" s="428">
        <v>1</v>
      </c>
      <c r="E262" s="428">
        <v>7</v>
      </c>
      <c r="F262" s="430">
        <v>0.3</v>
      </c>
      <c r="G262" s="430">
        <v>0.75</v>
      </c>
      <c r="H262" s="430">
        <v>0.4</v>
      </c>
      <c r="I262" s="430">
        <f>PRODUCT(C262:H262)</f>
        <v>-0.63</v>
      </c>
      <c r="J262" s="431"/>
    </row>
    <row r="263" spans="1:10" s="6" customFormat="1">
      <c r="A263" s="427"/>
      <c r="B263" s="427" t="s">
        <v>487</v>
      </c>
      <c r="C263" s="428">
        <v>-1</v>
      </c>
      <c r="D263" s="428">
        <v>1</v>
      </c>
      <c r="E263" s="428">
        <v>1</v>
      </c>
      <c r="F263" s="430">
        <v>0.38</v>
      </c>
      <c r="G263" s="430">
        <v>0.75</v>
      </c>
      <c r="H263" s="430">
        <v>0.4</v>
      </c>
      <c r="I263" s="430">
        <f>PRODUCT(C263:H263)</f>
        <v>-0.11</v>
      </c>
      <c r="J263" s="431"/>
    </row>
    <row r="264" spans="1:10" s="6" customFormat="1">
      <c r="A264" s="427"/>
      <c r="B264" s="432" t="s">
        <v>938</v>
      </c>
      <c r="C264" s="428"/>
      <c r="D264" s="428"/>
      <c r="E264" s="428"/>
      <c r="F264" s="430"/>
      <c r="G264" s="430"/>
      <c r="H264" s="430"/>
      <c r="I264" s="433"/>
      <c r="J264" s="431"/>
    </row>
    <row r="265" spans="1:10" s="6" customFormat="1">
      <c r="A265" s="427"/>
      <c r="B265" s="427" t="s">
        <v>935</v>
      </c>
      <c r="C265" s="428">
        <v>5</v>
      </c>
      <c r="D265" s="428">
        <v>1</v>
      </c>
      <c r="E265" s="428">
        <v>1</v>
      </c>
      <c r="F265" s="429">
        <v>47.03</v>
      </c>
      <c r="G265" s="430">
        <v>0.23</v>
      </c>
      <c r="H265" s="430">
        <v>0.15</v>
      </c>
      <c r="I265" s="430">
        <f t="shared" ref="I265:I270" si="11">PRODUCT(C265:H265)</f>
        <v>8.11</v>
      </c>
      <c r="J265" s="431"/>
    </row>
    <row r="266" spans="1:10" s="6" customFormat="1">
      <c r="A266" s="427"/>
      <c r="B266" s="427" t="s">
        <v>93</v>
      </c>
      <c r="C266" s="428">
        <v>5</v>
      </c>
      <c r="D266" s="428">
        <v>1</v>
      </c>
      <c r="E266" s="428">
        <v>3</v>
      </c>
      <c r="F266" s="429">
        <v>8.8949999999999996</v>
      </c>
      <c r="G266" s="430">
        <v>0.23</v>
      </c>
      <c r="H266" s="430">
        <v>0.15</v>
      </c>
      <c r="I266" s="430">
        <f t="shared" si="11"/>
        <v>4.5999999999999996</v>
      </c>
      <c r="J266" s="431"/>
    </row>
    <row r="267" spans="1:10" s="6" customFormat="1">
      <c r="A267" s="427"/>
      <c r="B267" s="427" t="s">
        <v>93</v>
      </c>
      <c r="C267" s="428">
        <v>5</v>
      </c>
      <c r="D267" s="428">
        <v>1</v>
      </c>
      <c r="E267" s="428">
        <v>2</v>
      </c>
      <c r="F267" s="429">
        <v>4</v>
      </c>
      <c r="G267" s="430">
        <v>0.23</v>
      </c>
      <c r="H267" s="430">
        <v>0.15</v>
      </c>
      <c r="I267" s="430">
        <f t="shared" si="11"/>
        <v>1.38</v>
      </c>
      <c r="J267" s="431"/>
    </row>
    <row r="268" spans="1:10" s="6" customFormat="1">
      <c r="A268" s="427"/>
      <c r="B268" s="427" t="s">
        <v>93</v>
      </c>
      <c r="C268" s="428">
        <v>5</v>
      </c>
      <c r="D268" s="428">
        <v>1</v>
      </c>
      <c r="E268" s="428">
        <v>2</v>
      </c>
      <c r="F268" s="429">
        <v>1.2</v>
      </c>
      <c r="G268" s="430">
        <v>0.23</v>
      </c>
      <c r="H268" s="430">
        <v>0.15</v>
      </c>
      <c r="I268" s="430">
        <f t="shared" si="11"/>
        <v>0.41</v>
      </c>
      <c r="J268" s="431"/>
    </row>
    <row r="269" spans="1:10" s="6" customFormat="1">
      <c r="A269" s="427"/>
      <c r="B269" s="427" t="s">
        <v>853</v>
      </c>
      <c r="C269" s="428">
        <v>5</v>
      </c>
      <c r="D269" s="428">
        <v>1</v>
      </c>
      <c r="E269" s="428">
        <v>4</v>
      </c>
      <c r="F269" s="429">
        <v>3.3849999999999998</v>
      </c>
      <c r="G269" s="430">
        <v>0.23</v>
      </c>
      <c r="H269" s="430">
        <v>0.15</v>
      </c>
      <c r="I269" s="430">
        <f t="shared" si="11"/>
        <v>2.34</v>
      </c>
      <c r="J269" s="431"/>
    </row>
    <row r="270" spans="1:10" s="6" customFormat="1">
      <c r="A270" s="427"/>
      <c r="B270" s="427" t="s">
        <v>853</v>
      </c>
      <c r="C270" s="428">
        <v>5</v>
      </c>
      <c r="D270" s="428">
        <v>1</v>
      </c>
      <c r="E270" s="428">
        <v>2</v>
      </c>
      <c r="F270" s="429">
        <v>3.35</v>
      </c>
      <c r="G270" s="430">
        <v>0.23</v>
      </c>
      <c r="H270" s="430">
        <v>0.15</v>
      </c>
      <c r="I270" s="430">
        <f t="shared" si="11"/>
        <v>1.1599999999999999</v>
      </c>
      <c r="J270" s="431"/>
    </row>
    <row r="271" spans="1:10" s="6" customFormat="1">
      <c r="A271" s="427"/>
      <c r="B271" s="432" t="s">
        <v>144</v>
      </c>
      <c r="C271" s="428"/>
      <c r="D271" s="428"/>
      <c r="E271" s="428"/>
      <c r="F271" s="429"/>
      <c r="G271" s="430"/>
      <c r="H271" s="430"/>
      <c r="I271" s="433"/>
      <c r="J271" s="431"/>
    </row>
    <row r="272" spans="1:10" s="6" customFormat="1">
      <c r="A272" s="427"/>
      <c r="B272" s="427" t="s">
        <v>463</v>
      </c>
      <c r="C272" s="428">
        <v>1</v>
      </c>
      <c r="D272" s="428">
        <v>1</v>
      </c>
      <c r="E272" s="428">
        <v>8</v>
      </c>
      <c r="F272" s="429">
        <v>6.06</v>
      </c>
      <c r="G272" s="430">
        <v>0.23</v>
      </c>
      <c r="H272" s="430">
        <v>0.15</v>
      </c>
      <c r="I272" s="430">
        <f t="shared" ref="I272:I288" si="12">PRODUCT(C272:H272)</f>
        <v>1.67</v>
      </c>
      <c r="J272" s="431"/>
    </row>
    <row r="273" spans="1:10" s="6" customFormat="1">
      <c r="A273" s="427"/>
      <c r="B273" s="427" t="s">
        <v>93</v>
      </c>
      <c r="C273" s="428">
        <v>1</v>
      </c>
      <c r="D273" s="428">
        <v>1</v>
      </c>
      <c r="E273" s="428">
        <v>12</v>
      </c>
      <c r="F273" s="429">
        <v>1.9</v>
      </c>
      <c r="G273" s="430">
        <v>0.23</v>
      </c>
      <c r="H273" s="430">
        <v>0.15</v>
      </c>
      <c r="I273" s="430">
        <f t="shared" si="12"/>
        <v>0.79</v>
      </c>
      <c r="J273" s="431"/>
    </row>
    <row r="274" spans="1:10" s="6" customFormat="1">
      <c r="A274" s="427"/>
      <c r="B274" s="427" t="s">
        <v>93</v>
      </c>
      <c r="C274" s="428">
        <v>1</v>
      </c>
      <c r="D274" s="428">
        <v>1</v>
      </c>
      <c r="E274" s="428">
        <v>1</v>
      </c>
      <c r="F274" s="429">
        <v>3.53</v>
      </c>
      <c r="G274" s="430">
        <v>0.23</v>
      </c>
      <c r="H274" s="430">
        <v>0.15</v>
      </c>
      <c r="I274" s="430">
        <f t="shared" si="12"/>
        <v>0.12</v>
      </c>
      <c r="J274" s="431"/>
    </row>
    <row r="275" spans="1:10" s="6" customFormat="1">
      <c r="A275" s="427"/>
      <c r="B275" s="427" t="s">
        <v>853</v>
      </c>
      <c r="C275" s="428">
        <v>1</v>
      </c>
      <c r="D275" s="428">
        <v>1</v>
      </c>
      <c r="E275" s="428">
        <v>2</v>
      </c>
      <c r="F275" s="429">
        <v>3.08</v>
      </c>
      <c r="G275" s="430">
        <v>0.23</v>
      </c>
      <c r="H275" s="430">
        <v>0.15</v>
      </c>
      <c r="I275" s="430">
        <f t="shared" si="12"/>
        <v>0.21</v>
      </c>
      <c r="J275" s="431"/>
    </row>
    <row r="276" spans="1:10" s="6" customFormat="1">
      <c r="A276" s="427"/>
      <c r="B276" s="427" t="s">
        <v>853</v>
      </c>
      <c r="C276" s="428">
        <v>1</v>
      </c>
      <c r="D276" s="428">
        <v>1</v>
      </c>
      <c r="E276" s="428">
        <v>1</v>
      </c>
      <c r="F276" s="429">
        <v>4.0949999999999998</v>
      </c>
      <c r="G276" s="430">
        <v>0.23</v>
      </c>
      <c r="H276" s="430">
        <v>0.15</v>
      </c>
      <c r="I276" s="430">
        <f t="shared" si="12"/>
        <v>0.14000000000000001</v>
      </c>
      <c r="J276" s="431"/>
    </row>
    <row r="277" spans="1:10" s="6" customFormat="1">
      <c r="A277" s="427"/>
      <c r="B277" s="427" t="s">
        <v>853</v>
      </c>
      <c r="C277" s="428">
        <v>1</v>
      </c>
      <c r="D277" s="428">
        <v>1</v>
      </c>
      <c r="E277" s="428">
        <v>1</v>
      </c>
      <c r="F277" s="429">
        <v>1.0349999999999999</v>
      </c>
      <c r="G277" s="430">
        <v>0.23</v>
      </c>
      <c r="H277" s="430">
        <v>0.15</v>
      </c>
      <c r="I277" s="430">
        <f t="shared" si="12"/>
        <v>0.04</v>
      </c>
      <c r="J277" s="431"/>
    </row>
    <row r="278" spans="1:10" s="6" customFormat="1">
      <c r="A278" s="427"/>
      <c r="B278" s="427" t="s">
        <v>853</v>
      </c>
      <c r="C278" s="428">
        <v>1</v>
      </c>
      <c r="D278" s="428">
        <v>1</v>
      </c>
      <c r="E278" s="428">
        <v>2</v>
      </c>
      <c r="F278" s="429">
        <v>4.83</v>
      </c>
      <c r="G278" s="430">
        <v>0.23</v>
      </c>
      <c r="H278" s="430">
        <v>0.15</v>
      </c>
      <c r="I278" s="430">
        <f t="shared" si="12"/>
        <v>0.33</v>
      </c>
      <c r="J278" s="431"/>
    </row>
    <row r="279" spans="1:10" s="6" customFormat="1">
      <c r="A279" s="427"/>
      <c r="B279" s="427" t="s">
        <v>853</v>
      </c>
      <c r="C279" s="428">
        <v>1</v>
      </c>
      <c r="D279" s="428">
        <v>1</v>
      </c>
      <c r="E279" s="428">
        <v>2</v>
      </c>
      <c r="F279" s="429">
        <v>7.66</v>
      </c>
      <c r="G279" s="430">
        <v>0.23</v>
      </c>
      <c r="H279" s="430">
        <v>0.15</v>
      </c>
      <c r="I279" s="430">
        <f t="shared" si="12"/>
        <v>0.53</v>
      </c>
      <c r="J279" s="431"/>
    </row>
    <row r="280" spans="1:10" s="6" customFormat="1">
      <c r="A280" s="427"/>
      <c r="B280" s="427" t="s">
        <v>853</v>
      </c>
      <c r="C280" s="428">
        <v>1</v>
      </c>
      <c r="D280" s="428">
        <v>1</v>
      </c>
      <c r="E280" s="428">
        <v>2</v>
      </c>
      <c r="F280" s="429">
        <v>2.7949999999999999</v>
      </c>
      <c r="G280" s="430">
        <v>0.23</v>
      </c>
      <c r="H280" s="430">
        <v>0.15</v>
      </c>
      <c r="I280" s="430">
        <f t="shared" si="12"/>
        <v>0.19</v>
      </c>
      <c r="J280" s="431"/>
    </row>
    <row r="281" spans="1:10" s="6" customFormat="1">
      <c r="A281" s="427"/>
      <c r="B281" s="427" t="s">
        <v>853</v>
      </c>
      <c r="C281" s="428">
        <v>1</v>
      </c>
      <c r="D281" s="428">
        <v>1</v>
      </c>
      <c r="E281" s="428">
        <v>2</v>
      </c>
      <c r="F281" s="429">
        <v>2.1</v>
      </c>
      <c r="G281" s="430">
        <v>0.23</v>
      </c>
      <c r="H281" s="430">
        <v>0.15</v>
      </c>
      <c r="I281" s="430">
        <f t="shared" si="12"/>
        <v>0.14000000000000001</v>
      </c>
      <c r="J281" s="431"/>
    </row>
    <row r="282" spans="1:10" s="6" customFormat="1">
      <c r="A282" s="427"/>
      <c r="B282" s="427" t="s">
        <v>853</v>
      </c>
      <c r="C282" s="428">
        <v>1</v>
      </c>
      <c r="D282" s="428">
        <v>1</v>
      </c>
      <c r="E282" s="428">
        <v>1</v>
      </c>
      <c r="F282" s="429">
        <v>1.905</v>
      </c>
      <c r="G282" s="430">
        <v>0.23</v>
      </c>
      <c r="H282" s="430">
        <v>0.15</v>
      </c>
      <c r="I282" s="430">
        <f t="shared" si="12"/>
        <v>7.0000000000000007E-2</v>
      </c>
      <c r="J282" s="431"/>
    </row>
    <row r="283" spans="1:10" s="6" customFormat="1">
      <c r="A283" s="427"/>
      <c r="B283" s="427" t="s">
        <v>853</v>
      </c>
      <c r="C283" s="428">
        <v>1</v>
      </c>
      <c r="D283" s="428">
        <v>1</v>
      </c>
      <c r="E283" s="428">
        <v>2</v>
      </c>
      <c r="F283" s="429">
        <v>9.2949999999999999</v>
      </c>
      <c r="G283" s="430">
        <v>0.23</v>
      </c>
      <c r="H283" s="430">
        <v>0.15</v>
      </c>
      <c r="I283" s="430">
        <f t="shared" si="12"/>
        <v>0.64</v>
      </c>
      <c r="J283" s="431"/>
    </row>
    <row r="284" spans="1:10" s="6" customFormat="1">
      <c r="A284" s="427"/>
      <c r="B284" s="427" t="s">
        <v>853</v>
      </c>
      <c r="C284" s="428">
        <v>1</v>
      </c>
      <c r="D284" s="428">
        <v>1</v>
      </c>
      <c r="E284" s="428">
        <v>2</v>
      </c>
      <c r="F284" s="429">
        <v>4.2300000000000004</v>
      </c>
      <c r="G284" s="430">
        <v>0.23</v>
      </c>
      <c r="H284" s="430">
        <v>0.15</v>
      </c>
      <c r="I284" s="430">
        <f t="shared" si="12"/>
        <v>0.28999999999999998</v>
      </c>
      <c r="J284" s="431"/>
    </row>
    <row r="285" spans="1:10" s="6" customFormat="1">
      <c r="A285" s="427"/>
      <c r="B285" s="427" t="s">
        <v>853</v>
      </c>
      <c r="C285" s="428">
        <v>1</v>
      </c>
      <c r="D285" s="428">
        <v>1</v>
      </c>
      <c r="E285" s="428">
        <v>1</v>
      </c>
      <c r="F285" s="429">
        <v>6.2</v>
      </c>
      <c r="G285" s="430">
        <v>0.23</v>
      </c>
      <c r="H285" s="430">
        <v>0.15</v>
      </c>
      <c r="I285" s="430">
        <f t="shared" si="12"/>
        <v>0.21</v>
      </c>
      <c r="J285" s="431"/>
    </row>
    <row r="286" spans="1:10" s="6" customFormat="1">
      <c r="A286" s="427"/>
      <c r="B286" s="427" t="s">
        <v>853</v>
      </c>
      <c r="C286" s="428">
        <v>1</v>
      </c>
      <c r="D286" s="428">
        <v>1</v>
      </c>
      <c r="E286" s="428">
        <v>2</v>
      </c>
      <c r="F286" s="429">
        <v>3.6949999999999998</v>
      </c>
      <c r="G286" s="430">
        <v>0.23</v>
      </c>
      <c r="H286" s="430">
        <v>0.15</v>
      </c>
      <c r="I286" s="430">
        <f t="shared" si="12"/>
        <v>0.25</v>
      </c>
      <c r="J286" s="431"/>
    </row>
    <row r="287" spans="1:10" s="6" customFormat="1">
      <c r="A287" s="427"/>
      <c r="B287" s="427" t="s">
        <v>93</v>
      </c>
      <c r="C287" s="428">
        <v>1</v>
      </c>
      <c r="D287" s="428">
        <v>1</v>
      </c>
      <c r="E287" s="428">
        <v>2</v>
      </c>
      <c r="F287" s="429">
        <v>3.645</v>
      </c>
      <c r="G287" s="430">
        <v>0.23</v>
      </c>
      <c r="H287" s="430">
        <v>0.15</v>
      </c>
      <c r="I287" s="433">
        <f t="shared" si="12"/>
        <v>0.25</v>
      </c>
      <c r="J287" s="431"/>
    </row>
    <row r="288" spans="1:10" s="6" customFormat="1">
      <c r="A288" s="427"/>
      <c r="B288" s="427" t="s">
        <v>93</v>
      </c>
      <c r="C288" s="428">
        <v>1</v>
      </c>
      <c r="D288" s="428">
        <v>1</v>
      </c>
      <c r="E288" s="428">
        <v>2</v>
      </c>
      <c r="F288" s="429">
        <v>7.6680000000000001</v>
      </c>
      <c r="G288" s="430">
        <v>0.23</v>
      </c>
      <c r="H288" s="430">
        <v>0.15</v>
      </c>
      <c r="I288" s="433">
        <f t="shared" si="12"/>
        <v>0.53</v>
      </c>
      <c r="J288" s="431"/>
    </row>
    <row r="289" spans="1:30" s="6" customFormat="1">
      <c r="A289" s="427"/>
      <c r="B289" s="432" t="s">
        <v>939</v>
      </c>
      <c r="C289" s="428"/>
      <c r="D289" s="428"/>
      <c r="E289" s="428"/>
      <c r="F289" s="430"/>
      <c r="G289" s="430"/>
      <c r="H289" s="430"/>
      <c r="I289" s="430"/>
      <c r="J289" s="431"/>
    </row>
    <row r="290" spans="1:30" s="6" customFormat="1">
      <c r="A290" s="427"/>
      <c r="B290" s="427" t="s">
        <v>931</v>
      </c>
      <c r="C290" s="428">
        <v>1</v>
      </c>
      <c r="D290" s="428">
        <v>1</v>
      </c>
      <c r="E290" s="428">
        <v>79</v>
      </c>
      <c r="F290" s="430">
        <v>0.3</v>
      </c>
      <c r="G290" s="430">
        <v>0.45</v>
      </c>
      <c r="H290" s="430">
        <v>0.9</v>
      </c>
      <c r="I290" s="430">
        <f t="shared" ref="I290:I296" si="13">PRODUCT(C290:H290)</f>
        <v>9.6</v>
      </c>
      <c r="J290" s="431"/>
    </row>
    <row r="291" spans="1:30" s="6" customFormat="1">
      <c r="A291" s="427"/>
      <c r="B291" s="427" t="s">
        <v>75</v>
      </c>
      <c r="C291" s="428">
        <v>1</v>
      </c>
      <c r="D291" s="428">
        <v>1</v>
      </c>
      <c r="E291" s="428">
        <v>54</v>
      </c>
      <c r="F291" s="430">
        <v>0.3</v>
      </c>
      <c r="G291" s="430">
        <v>0.6</v>
      </c>
      <c r="H291" s="430">
        <v>0.9</v>
      </c>
      <c r="I291" s="430">
        <f t="shared" si="13"/>
        <v>8.75</v>
      </c>
      <c r="J291" s="431"/>
    </row>
    <row r="292" spans="1:30" s="6" customFormat="1">
      <c r="A292" s="427"/>
      <c r="B292" s="427" t="s">
        <v>76</v>
      </c>
      <c r="C292" s="428">
        <v>1</v>
      </c>
      <c r="D292" s="428">
        <v>1</v>
      </c>
      <c r="E292" s="428">
        <v>3</v>
      </c>
      <c r="F292" s="430">
        <v>0.3</v>
      </c>
      <c r="G292" s="430">
        <v>0.6</v>
      </c>
      <c r="H292" s="430">
        <v>0.9</v>
      </c>
      <c r="I292" s="430">
        <f t="shared" si="13"/>
        <v>0.49</v>
      </c>
      <c r="J292" s="431"/>
    </row>
    <row r="293" spans="1:30" s="6" customFormat="1">
      <c r="A293" s="427"/>
      <c r="B293" s="427" t="s">
        <v>485</v>
      </c>
      <c r="C293" s="428">
        <v>1</v>
      </c>
      <c r="D293" s="428">
        <v>1</v>
      </c>
      <c r="E293" s="428">
        <v>7</v>
      </c>
      <c r="F293" s="430">
        <v>0.3</v>
      </c>
      <c r="G293" s="430">
        <v>0.75</v>
      </c>
      <c r="H293" s="430">
        <v>0.9</v>
      </c>
      <c r="I293" s="430">
        <f t="shared" si="13"/>
        <v>1.42</v>
      </c>
      <c r="J293" s="431"/>
    </row>
    <row r="294" spans="1:30" s="6" customFormat="1">
      <c r="A294" s="427"/>
      <c r="B294" s="427" t="s">
        <v>487</v>
      </c>
      <c r="C294" s="428">
        <v>1</v>
      </c>
      <c r="D294" s="428">
        <v>1</v>
      </c>
      <c r="E294" s="428">
        <v>1</v>
      </c>
      <c r="F294" s="430">
        <v>0.38</v>
      </c>
      <c r="G294" s="430">
        <v>0.75</v>
      </c>
      <c r="H294" s="430">
        <v>0.9</v>
      </c>
      <c r="I294" s="430">
        <f t="shared" si="13"/>
        <v>0.26</v>
      </c>
      <c r="J294" s="431"/>
    </row>
    <row r="295" spans="1:30" s="6" customFormat="1">
      <c r="A295" s="427"/>
      <c r="B295" s="427" t="s">
        <v>932</v>
      </c>
      <c r="C295" s="428">
        <v>1</v>
      </c>
      <c r="D295" s="428">
        <v>1</v>
      </c>
      <c r="E295" s="428">
        <v>2</v>
      </c>
      <c r="F295" s="430">
        <v>9.92</v>
      </c>
      <c r="G295" s="430">
        <v>0.23</v>
      </c>
      <c r="H295" s="430">
        <v>0.9</v>
      </c>
      <c r="I295" s="430">
        <f t="shared" si="13"/>
        <v>4.1100000000000003</v>
      </c>
      <c r="J295" s="431"/>
    </row>
    <row r="296" spans="1:30" s="6" customFormat="1">
      <c r="A296" s="427"/>
      <c r="B296" s="427" t="s">
        <v>933</v>
      </c>
      <c r="C296" s="428">
        <v>1</v>
      </c>
      <c r="D296" s="428">
        <v>1</v>
      </c>
      <c r="E296" s="428">
        <v>1</v>
      </c>
      <c r="F296" s="430">
        <v>11.52</v>
      </c>
      <c r="G296" s="430">
        <v>0.23</v>
      </c>
      <c r="H296" s="430">
        <v>0.9</v>
      </c>
      <c r="I296" s="430">
        <f t="shared" si="13"/>
        <v>2.38</v>
      </c>
      <c r="J296" s="431"/>
    </row>
    <row r="297" spans="1:30" s="6" customFormat="1">
      <c r="A297" s="427"/>
      <c r="B297" s="432" t="s">
        <v>937</v>
      </c>
      <c r="C297" s="428"/>
      <c r="D297" s="428"/>
      <c r="E297" s="428"/>
      <c r="F297" s="430"/>
      <c r="G297" s="430"/>
      <c r="H297" s="430"/>
      <c r="I297" s="433"/>
      <c r="J297" s="431"/>
    </row>
    <row r="298" spans="1:30" s="6" customFormat="1">
      <c r="A298" s="427"/>
      <c r="B298" s="427" t="s">
        <v>931</v>
      </c>
      <c r="C298" s="428">
        <v>-1</v>
      </c>
      <c r="D298" s="428">
        <v>1</v>
      </c>
      <c r="E298" s="428">
        <v>79</v>
      </c>
      <c r="F298" s="430">
        <v>0.3</v>
      </c>
      <c r="G298" s="430">
        <v>0.45</v>
      </c>
      <c r="H298" s="430">
        <v>0.15</v>
      </c>
      <c r="I298" s="430">
        <f>PRODUCT(C298:H298)</f>
        <v>-1.6</v>
      </c>
      <c r="J298" s="431"/>
    </row>
    <row r="299" spans="1:30" s="6" customFormat="1">
      <c r="A299" s="427"/>
      <c r="B299" s="427" t="s">
        <v>75</v>
      </c>
      <c r="C299" s="428">
        <v>-1</v>
      </c>
      <c r="D299" s="428">
        <v>1</v>
      </c>
      <c r="E299" s="428">
        <v>54</v>
      </c>
      <c r="F299" s="430">
        <v>0.3</v>
      </c>
      <c r="G299" s="430">
        <v>0.6</v>
      </c>
      <c r="H299" s="430">
        <v>0.15</v>
      </c>
      <c r="I299" s="430">
        <f>PRODUCT(C299:H299)</f>
        <v>-1.46</v>
      </c>
      <c r="J299" s="431"/>
    </row>
    <row r="300" spans="1:30" s="6" customFormat="1">
      <c r="A300" s="427"/>
      <c r="B300" s="427" t="s">
        <v>76</v>
      </c>
      <c r="C300" s="428">
        <v>-1</v>
      </c>
      <c r="D300" s="428">
        <v>1</v>
      </c>
      <c r="E300" s="428">
        <v>3</v>
      </c>
      <c r="F300" s="430">
        <v>0.3</v>
      </c>
      <c r="G300" s="430">
        <v>0.6</v>
      </c>
      <c r="H300" s="430">
        <v>0.15</v>
      </c>
      <c r="I300" s="430">
        <f>PRODUCT(C300:H300)</f>
        <v>-0.08</v>
      </c>
      <c r="J300" s="431"/>
    </row>
    <row r="301" spans="1:30" s="6" customFormat="1">
      <c r="A301" s="427"/>
      <c r="B301" s="427" t="s">
        <v>485</v>
      </c>
      <c r="C301" s="428">
        <v>-1</v>
      </c>
      <c r="D301" s="428">
        <v>1</v>
      </c>
      <c r="E301" s="428">
        <v>7</v>
      </c>
      <c r="F301" s="430">
        <v>0.3</v>
      </c>
      <c r="G301" s="430">
        <v>0.75</v>
      </c>
      <c r="H301" s="430">
        <v>0.15</v>
      </c>
      <c r="I301" s="430">
        <f>PRODUCT(C301:H301)</f>
        <v>-0.24</v>
      </c>
      <c r="J301" s="431"/>
    </row>
    <row r="302" spans="1:30" s="6" customFormat="1">
      <c r="A302" s="427"/>
      <c r="B302" s="427" t="s">
        <v>487</v>
      </c>
      <c r="C302" s="428">
        <v>-1</v>
      </c>
      <c r="D302" s="428">
        <v>1</v>
      </c>
      <c r="E302" s="428">
        <v>1</v>
      </c>
      <c r="F302" s="430">
        <v>0.38</v>
      </c>
      <c r="G302" s="430">
        <v>0.75</v>
      </c>
      <c r="H302" s="430">
        <v>0.15</v>
      </c>
      <c r="I302" s="430">
        <f>PRODUCT(C302:H302)</f>
        <v>-0.04</v>
      </c>
      <c r="J302" s="431"/>
    </row>
    <row r="303" spans="1:30" s="73" customFormat="1" ht="18.75" customHeight="1">
      <c r="A303" s="278"/>
      <c r="B303" s="279"/>
      <c r="C303" s="280"/>
      <c r="D303" s="280"/>
      <c r="E303" s="280"/>
      <c r="F303" s="282"/>
      <c r="G303" s="282"/>
      <c r="H303" s="282"/>
      <c r="I303" s="416">
        <f>SUM(I174:I302)</f>
        <v>946.54</v>
      </c>
      <c r="J303" s="284" t="s">
        <v>21</v>
      </c>
      <c r="K303" s="43"/>
      <c r="L303" s="43"/>
      <c r="M303" s="43"/>
      <c r="N303" s="74"/>
      <c r="O303" s="74"/>
      <c r="P303" s="74"/>
      <c r="Q303" s="74"/>
      <c r="R303" s="74"/>
      <c r="S303" s="74"/>
      <c r="T303" s="74"/>
      <c r="U303" s="74"/>
      <c r="V303" s="74"/>
      <c r="W303" s="74"/>
      <c r="X303" s="74"/>
      <c r="Y303" s="74"/>
      <c r="Z303" s="74"/>
      <c r="AA303" s="74"/>
      <c r="AB303" s="74"/>
      <c r="AC303" s="74"/>
      <c r="AD303" s="74"/>
    </row>
    <row r="304" spans="1:30" s="73" customFormat="1" ht="18.75" customHeight="1">
      <c r="A304" s="278"/>
      <c r="B304" s="279"/>
      <c r="C304" s="280"/>
      <c r="D304" s="280"/>
      <c r="E304" s="280"/>
      <c r="F304" s="282"/>
      <c r="G304" s="282"/>
      <c r="H304" s="415" t="s">
        <v>55</v>
      </c>
      <c r="I304" s="416">
        <f>ROUNDUP(I303,1)</f>
        <v>946.6</v>
      </c>
      <c r="J304" s="287" t="s">
        <v>21</v>
      </c>
      <c r="K304" s="42"/>
      <c r="L304" s="42" t="s">
        <v>76</v>
      </c>
      <c r="M304" s="156">
        <v>2</v>
      </c>
      <c r="N304" s="155">
        <f>395-394.19</f>
        <v>0.81</v>
      </c>
      <c r="O304" s="74">
        <f>N304*6</f>
        <v>4.8600000000000003</v>
      </c>
      <c r="P304" s="74"/>
      <c r="Q304" s="74"/>
      <c r="R304" s="74"/>
      <c r="S304" s="74"/>
      <c r="T304" s="74"/>
      <c r="U304" s="74"/>
      <c r="V304" s="74"/>
      <c r="W304" s="74"/>
      <c r="X304" s="74"/>
      <c r="Y304" s="74"/>
      <c r="Z304" s="74"/>
      <c r="AA304" s="74"/>
      <c r="AB304" s="74"/>
      <c r="AC304" s="74"/>
      <c r="AD304" s="74"/>
    </row>
    <row r="305" spans="1:30 16371:16371" s="2" customFormat="1" ht="18.75" customHeight="1">
      <c r="A305" s="288"/>
      <c r="B305" s="286" t="s">
        <v>849</v>
      </c>
      <c r="C305" s="280"/>
      <c r="D305" s="280"/>
      <c r="E305" s="280"/>
      <c r="F305" s="282"/>
      <c r="G305" s="282"/>
      <c r="H305" s="282"/>
      <c r="I305" s="283"/>
      <c r="J305" s="284"/>
      <c r="K305" s="43"/>
      <c r="L305" s="43" t="s">
        <v>74</v>
      </c>
      <c r="M305" s="154">
        <v>2</v>
      </c>
      <c r="N305" s="9"/>
      <c r="O305" s="9"/>
      <c r="P305" s="9"/>
      <c r="Q305" s="9"/>
      <c r="R305" s="9"/>
      <c r="S305" s="9"/>
      <c r="T305" s="9"/>
      <c r="U305" s="9"/>
      <c r="V305" s="9"/>
      <c r="W305" s="9"/>
      <c r="X305" s="9"/>
      <c r="Y305" s="9"/>
      <c r="Z305" s="9"/>
      <c r="AA305" s="9"/>
      <c r="AB305" s="9"/>
      <c r="AC305" s="9"/>
      <c r="AD305" s="9"/>
    </row>
    <row r="306" spans="1:30 16371:16371" s="151" customFormat="1" ht="18.75" customHeight="1">
      <c r="A306" s="289"/>
      <c r="B306" s="290" t="s">
        <v>839</v>
      </c>
      <c r="C306" s="289"/>
      <c r="D306" s="289"/>
      <c r="E306" s="289"/>
      <c r="F306" s="289"/>
      <c r="G306" s="289"/>
      <c r="H306" s="289"/>
      <c r="I306" s="291"/>
      <c r="J306" s="292"/>
      <c r="K306" s="146"/>
      <c r="L306" s="153" t="s">
        <v>848</v>
      </c>
      <c r="M306" s="153">
        <v>2</v>
      </c>
      <c r="N306" s="152"/>
      <c r="O306" s="152"/>
      <c r="P306" s="152"/>
      <c r="Q306" s="152"/>
      <c r="R306" s="152"/>
      <c r="S306" s="152"/>
      <c r="T306" s="152"/>
      <c r="U306" s="152"/>
      <c r="V306" s="152"/>
      <c r="W306" s="152"/>
      <c r="X306" s="152"/>
      <c r="Y306" s="152"/>
      <c r="Z306" s="152"/>
      <c r="AA306" s="152"/>
      <c r="AB306" s="152"/>
      <c r="AC306" s="152"/>
      <c r="AD306" s="152"/>
      <c r="XEQ306" s="151">
        <f>SUM(A306:XEP306)</f>
        <v>2</v>
      </c>
    </row>
    <row r="307" spans="1:30 16371:16371" s="6" customFormat="1">
      <c r="A307" s="427"/>
      <c r="B307" s="427" t="s">
        <v>931</v>
      </c>
      <c r="C307" s="428">
        <v>1</v>
      </c>
      <c r="D307" s="428">
        <v>1</v>
      </c>
      <c r="E307" s="428">
        <v>79</v>
      </c>
      <c r="F307" s="430">
        <v>0.3</v>
      </c>
      <c r="G307" s="430">
        <v>0.45</v>
      </c>
      <c r="H307" s="430">
        <v>2.65</v>
      </c>
      <c r="I307" s="430">
        <f t="shared" ref="I307:I312" si="14">PRODUCT(C307:H307)</f>
        <v>28.26</v>
      </c>
      <c r="J307" s="431"/>
    </row>
    <row r="308" spans="1:30 16371:16371" s="6" customFormat="1">
      <c r="A308" s="427"/>
      <c r="B308" s="427" t="s">
        <v>75</v>
      </c>
      <c r="C308" s="428">
        <v>1</v>
      </c>
      <c r="D308" s="428">
        <v>1</v>
      </c>
      <c r="E308" s="428">
        <v>54</v>
      </c>
      <c r="F308" s="430">
        <v>0.3</v>
      </c>
      <c r="G308" s="430">
        <v>0.6</v>
      </c>
      <c r="H308" s="430">
        <v>2.65</v>
      </c>
      <c r="I308" s="430">
        <f t="shared" si="14"/>
        <v>25.76</v>
      </c>
      <c r="J308" s="431"/>
    </row>
    <row r="309" spans="1:30 16371:16371" s="6" customFormat="1">
      <c r="A309" s="427"/>
      <c r="B309" s="427" t="s">
        <v>76</v>
      </c>
      <c r="C309" s="428">
        <v>1</v>
      </c>
      <c r="D309" s="428">
        <v>1</v>
      </c>
      <c r="E309" s="428">
        <v>3</v>
      </c>
      <c r="F309" s="430">
        <v>0.3</v>
      </c>
      <c r="G309" s="430">
        <v>0.6</v>
      </c>
      <c r="H309" s="430">
        <v>2.65</v>
      </c>
      <c r="I309" s="430">
        <f t="shared" si="14"/>
        <v>1.43</v>
      </c>
      <c r="J309" s="431"/>
    </row>
    <row r="310" spans="1:30 16371:16371" s="6" customFormat="1">
      <c r="A310" s="427"/>
      <c r="B310" s="427" t="s">
        <v>485</v>
      </c>
      <c r="C310" s="428">
        <v>1</v>
      </c>
      <c r="D310" s="428">
        <v>1</v>
      </c>
      <c r="E310" s="428">
        <v>7</v>
      </c>
      <c r="F310" s="430">
        <v>0.3</v>
      </c>
      <c r="G310" s="430">
        <v>0.75</v>
      </c>
      <c r="H310" s="430">
        <v>2.65</v>
      </c>
      <c r="I310" s="430">
        <f t="shared" si="14"/>
        <v>4.17</v>
      </c>
      <c r="J310" s="431"/>
    </row>
    <row r="311" spans="1:30 16371:16371" s="6" customFormat="1">
      <c r="A311" s="427"/>
      <c r="B311" s="427" t="s">
        <v>487</v>
      </c>
      <c r="C311" s="428">
        <v>1</v>
      </c>
      <c r="D311" s="428">
        <v>1</v>
      </c>
      <c r="E311" s="428">
        <v>1</v>
      </c>
      <c r="F311" s="430">
        <v>0.38</v>
      </c>
      <c r="G311" s="430">
        <v>0.75</v>
      </c>
      <c r="H311" s="430">
        <v>2.65</v>
      </c>
      <c r="I311" s="430">
        <f t="shared" si="14"/>
        <v>0.76</v>
      </c>
      <c r="J311" s="431"/>
    </row>
    <row r="312" spans="1:30 16371:16371" s="85" customFormat="1" ht="34.5" customHeight="1">
      <c r="A312" s="294"/>
      <c r="B312" s="293" t="s">
        <v>491</v>
      </c>
      <c r="C312" s="294">
        <v>1</v>
      </c>
      <c r="D312" s="294">
        <v>3</v>
      </c>
      <c r="E312" s="294">
        <v>2</v>
      </c>
      <c r="F312" s="295">
        <v>0.23</v>
      </c>
      <c r="G312" s="295">
        <v>0.6</v>
      </c>
      <c r="H312" s="295">
        <v>1.1000000000000001</v>
      </c>
      <c r="I312" s="298">
        <f t="shared" si="14"/>
        <v>0.91</v>
      </c>
      <c r="J312" s="294"/>
      <c r="K312" s="87">
        <f>2.2+0.3+0.35</f>
        <v>2.85</v>
      </c>
      <c r="L312" s="86"/>
      <c r="M312" s="86"/>
      <c r="N312" s="86"/>
      <c r="O312" s="86"/>
      <c r="P312" s="86"/>
      <c r="Q312" s="86"/>
      <c r="R312" s="86"/>
      <c r="S312" s="86"/>
      <c r="T312" s="86"/>
      <c r="U312" s="86"/>
      <c r="V312" s="86"/>
      <c r="W312" s="86"/>
      <c r="X312" s="86"/>
      <c r="Y312" s="86"/>
      <c r="Z312" s="86"/>
      <c r="AA312" s="86"/>
      <c r="AB312" s="86"/>
      <c r="AC312" s="86"/>
      <c r="AD312" s="86"/>
    </row>
    <row r="313" spans="1:30 16371:16371" s="85" customFormat="1" ht="18.75" customHeight="1">
      <c r="A313" s="294"/>
      <c r="B313" s="296" t="s">
        <v>838</v>
      </c>
      <c r="C313" s="294"/>
      <c r="D313" s="294"/>
      <c r="E313" s="294"/>
      <c r="F313" s="294"/>
      <c r="G313" s="295"/>
      <c r="H313" s="295"/>
      <c r="I313" s="291"/>
      <c r="J313" s="292"/>
      <c r="K313" s="146"/>
      <c r="L313" s="146"/>
      <c r="M313" s="146"/>
      <c r="N313" s="86"/>
      <c r="O313" s="86"/>
      <c r="P313" s="86"/>
      <c r="Q313" s="86"/>
      <c r="R313" s="86"/>
      <c r="S313" s="86"/>
      <c r="T313" s="86"/>
      <c r="U313" s="86"/>
      <c r="V313" s="86"/>
      <c r="W313" s="86"/>
      <c r="X313" s="86"/>
      <c r="Y313" s="86"/>
      <c r="Z313" s="86"/>
      <c r="AA313" s="86"/>
      <c r="AB313" s="86"/>
      <c r="AC313" s="86"/>
      <c r="AD313" s="86"/>
    </row>
    <row r="314" spans="1:30 16371:16371" s="73" customFormat="1" ht="18.75" customHeight="1">
      <c r="A314" s="278"/>
      <c r="B314" s="279" t="s">
        <v>837</v>
      </c>
      <c r="C314" s="280">
        <v>1</v>
      </c>
      <c r="D314" s="280">
        <v>1</v>
      </c>
      <c r="E314" s="280">
        <v>2</v>
      </c>
      <c r="F314" s="282">
        <v>9.92</v>
      </c>
      <c r="G314" s="282">
        <v>0.23</v>
      </c>
      <c r="H314" s="282">
        <v>2.65</v>
      </c>
      <c r="I314" s="283">
        <f>PRODUCT(C314:H314)</f>
        <v>12.09</v>
      </c>
      <c r="J314" s="284"/>
      <c r="K314" s="43"/>
      <c r="L314" s="43"/>
      <c r="M314" s="43"/>
      <c r="N314" s="74">
        <f>2.6+0.23</f>
        <v>2.83</v>
      </c>
      <c r="O314" s="74"/>
      <c r="P314" s="74"/>
      <c r="Q314" s="74"/>
      <c r="R314" s="74"/>
      <c r="S314" s="74"/>
      <c r="T314" s="74"/>
      <c r="U314" s="74"/>
      <c r="V314" s="74"/>
      <c r="W314" s="74"/>
      <c r="X314" s="74"/>
      <c r="Y314" s="74"/>
      <c r="Z314" s="74"/>
      <c r="AA314" s="74"/>
      <c r="AB314" s="74"/>
      <c r="AC314" s="74"/>
      <c r="AD314" s="74"/>
    </row>
    <row r="315" spans="1:30 16371:16371" s="73" customFormat="1" ht="18.75" customHeight="1">
      <c r="A315" s="278"/>
      <c r="B315" s="279" t="s">
        <v>836</v>
      </c>
      <c r="C315" s="280">
        <v>1</v>
      </c>
      <c r="D315" s="280">
        <v>1</v>
      </c>
      <c r="E315" s="280">
        <v>1</v>
      </c>
      <c r="F315" s="282">
        <v>11.52</v>
      </c>
      <c r="G315" s="282">
        <v>0.23</v>
      </c>
      <c r="H315" s="282">
        <v>2.65</v>
      </c>
      <c r="I315" s="283">
        <f>PRODUCT(C315:H315)</f>
        <v>7.02</v>
      </c>
      <c r="J315" s="284"/>
      <c r="K315" s="43"/>
      <c r="L315" s="43"/>
      <c r="M315" s="43"/>
      <c r="N315" s="74">
        <f>1.9+0.23</f>
        <v>2.13</v>
      </c>
      <c r="O315" s="74">
        <f>N315+N314</f>
        <v>4.96</v>
      </c>
      <c r="P315" s="74">
        <f>O315*2</f>
        <v>9.92</v>
      </c>
      <c r="Q315" s="74">
        <f>2.3+0.23</f>
        <v>2.5299999999999998</v>
      </c>
      <c r="R315" s="74">
        <f>3+0.23</f>
        <v>3.23</v>
      </c>
      <c r="S315" s="74"/>
      <c r="T315" s="74"/>
      <c r="U315" s="74"/>
      <c r="V315" s="74"/>
      <c r="W315" s="74"/>
      <c r="X315" s="74"/>
      <c r="Y315" s="74"/>
      <c r="Z315" s="74"/>
      <c r="AA315" s="74"/>
      <c r="AB315" s="74"/>
      <c r="AC315" s="74"/>
      <c r="AD315" s="74"/>
    </row>
    <row r="316" spans="1:30 16371:16371" s="85" customFormat="1" ht="18.75" customHeight="1">
      <c r="A316" s="294"/>
      <c r="B316" s="297" t="s">
        <v>835</v>
      </c>
      <c r="C316" s="294">
        <v>1</v>
      </c>
      <c r="D316" s="294">
        <v>-2</v>
      </c>
      <c r="E316" s="294">
        <v>1</v>
      </c>
      <c r="F316" s="295">
        <v>1</v>
      </c>
      <c r="G316" s="295">
        <v>0.23</v>
      </c>
      <c r="H316" s="295">
        <v>2.1</v>
      </c>
      <c r="I316" s="298">
        <f>PRODUCT(C316:H316)</f>
        <v>-0.97</v>
      </c>
      <c r="J316" s="294"/>
      <c r="K316" s="86"/>
      <c r="L316" s="86"/>
      <c r="M316" s="86"/>
      <c r="N316" s="86"/>
      <c r="O316" s="86"/>
      <c r="P316" s="86"/>
      <c r="Q316" s="86"/>
      <c r="R316" s="86"/>
      <c r="S316" s="86"/>
      <c r="T316" s="86"/>
      <c r="U316" s="86"/>
      <c r="V316" s="86"/>
      <c r="W316" s="86"/>
      <c r="X316" s="86"/>
      <c r="Y316" s="86"/>
      <c r="Z316" s="86"/>
      <c r="AA316" s="86"/>
      <c r="AB316" s="86"/>
      <c r="AC316" s="86"/>
      <c r="AD316" s="86"/>
    </row>
    <row r="317" spans="1:30 16371:16371" s="85" customFormat="1" ht="18.75" customHeight="1">
      <c r="A317" s="294"/>
      <c r="B317" s="297" t="s">
        <v>834</v>
      </c>
      <c r="C317" s="294">
        <v>1</v>
      </c>
      <c r="D317" s="294">
        <v>-1</v>
      </c>
      <c r="E317" s="294">
        <v>1</v>
      </c>
      <c r="F317" s="295">
        <v>1.2</v>
      </c>
      <c r="G317" s="295">
        <v>0.23</v>
      </c>
      <c r="H317" s="295">
        <v>2.1</v>
      </c>
      <c r="I317" s="298">
        <f>PRODUCT(C317:H317)</f>
        <v>-0.57999999999999996</v>
      </c>
      <c r="J317" s="294"/>
      <c r="K317" s="86"/>
      <c r="L317" s="86"/>
      <c r="M317" s="86"/>
      <c r="N317" s="86"/>
      <c r="O317" s="86"/>
      <c r="P317" s="86"/>
      <c r="Q317" s="86"/>
      <c r="R317" s="86"/>
      <c r="S317" s="86"/>
      <c r="T317" s="86"/>
      <c r="U317" s="86"/>
      <c r="V317" s="86"/>
      <c r="W317" s="86"/>
      <c r="X317" s="86"/>
      <c r="Y317" s="86"/>
      <c r="Z317" s="86"/>
      <c r="AA317" s="86"/>
      <c r="AB317" s="86"/>
      <c r="AC317" s="86"/>
      <c r="AD317" s="86"/>
    </row>
    <row r="318" spans="1:30 16371:16371" s="85" customFormat="1" ht="18.75" customHeight="1">
      <c r="A318" s="294"/>
      <c r="B318" s="299" t="s">
        <v>940</v>
      </c>
      <c r="C318" s="289"/>
      <c r="D318" s="289"/>
      <c r="E318" s="294"/>
      <c r="F318" s="289"/>
      <c r="G318" s="289"/>
      <c r="H318" s="289"/>
      <c r="I318" s="291"/>
      <c r="J318" s="294"/>
      <c r="K318" s="86"/>
      <c r="L318" s="86"/>
      <c r="M318" s="86"/>
      <c r="N318" s="86"/>
      <c r="O318" s="86"/>
      <c r="P318" s="86"/>
      <c r="Q318" s="86"/>
      <c r="R318" s="86"/>
      <c r="S318" s="86"/>
      <c r="T318" s="86"/>
      <c r="U318" s="86"/>
      <c r="V318" s="86"/>
      <c r="W318" s="86"/>
      <c r="X318" s="86"/>
      <c r="Y318" s="86"/>
      <c r="Z318" s="86"/>
      <c r="AA318" s="86"/>
      <c r="AB318" s="86"/>
      <c r="AC318" s="86"/>
      <c r="AD318" s="86"/>
    </row>
    <row r="319" spans="1:30 16371:16371" s="85" customFormat="1" ht="18.75" customHeight="1">
      <c r="A319" s="294"/>
      <c r="B319" s="297" t="s">
        <v>833</v>
      </c>
      <c r="C319" s="294">
        <v>1</v>
      </c>
      <c r="D319" s="294">
        <v>2</v>
      </c>
      <c r="E319" s="294">
        <v>2</v>
      </c>
      <c r="F319" s="295">
        <v>3.3</v>
      </c>
      <c r="G319" s="295">
        <v>1.35</v>
      </c>
      <c r="H319" s="294">
        <v>0.15</v>
      </c>
      <c r="I319" s="298">
        <f>PRODUCT(C319:H319)</f>
        <v>2.67</v>
      </c>
      <c r="J319" s="294"/>
      <c r="K319" s="86"/>
      <c r="L319" s="86"/>
      <c r="M319" s="86"/>
      <c r="N319" s="86"/>
      <c r="O319" s="86"/>
      <c r="P319" s="86"/>
      <c r="Q319" s="86"/>
      <c r="R319" s="86"/>
      <c r="S319" s="86"/>
      <c r="T319" s="86"/>
      <c r="U319" s="86"/>
      <c r="V319" s="86"/>
      <c r="W319" s="86"/>
      <c r="X319" s="86"/>
      <c r="Y319" s="86"/>
      <c r="Z319" s="86"/>
      <c r="AA319" s="86"/>
      <c r="AB319" s="86"/>
      <c r="AC319" s="86"/>
      <c r="AD319" s="86"/>
    </row>
    <row r="320" spans="1:30 16371:16371" s="85" customFormat="1" ht="18.75" customHeight="1">
      <c r="A320" s="294"/>
      <c r="B320" s="297" t="s">
        <v>528</v>
      </c>
      <c r="C320" s="294">
        <v>0.5</v>
      </c>
      <c r="D320" s="294">
        <v>16</v>
      </c>
      <c r="E320" s="294">
        <v>2</v>
      </c>
      <c r="F320" s="295">
        <v>1.35</v>
      </c>
      <c r="G320" s="295">
        <v>0.3</v>
      </c>
      <c r="H320" s="294">
        <v>0.15</v>
      </c>
      <c r="I320" s="298">
        <f>PRODUCT(C320:H320)</f>
        <v>0.97</v>
      </c>
      <c r="J320" s="294"/>
      <c r="K320" s="86"/>
      <c r="L320" s="86"/>
      <c r="M320" s="86"/>
      <c r="N320" s="86"/>
      <c r="O320" s="86"/>
      <c r="P320" s="86"/>
      <c r="Q320" s="86"/>
      <c r="R320" s="86"/>
      <c r="S320" s="86"/>
      <c r="T320" s="86"/>
      <c r="U320" s="86"/>
      <c r="V320" s="86"/>
      <c r="W320" s="86"/>
      <c r="X320" s="86"/>
      <c r="Y320" s="86"/>
      <c r="Z320" s="86"/>
      <c r="AA320" s="86"/>
      <c r="AB320" s="86"/>
      <c r="AC320" s="86"/>
      <c r="AD320" s="86"/>
    </row>
    <row r="321" spans="1:30" s="85" customFormat="1" ht="18.75" customHeight="1">
      <c r="A321" s="294"/>
      <c r="B321" s="297" t="s">
        <v>77</v>
      </c>
      <c r="C321" s="294">
        <v>1</v>
      </c>
      <c r="D321" s="294">
        <v>2</v>
      </c>
      <c r="E321" s="294">
        <v>2</v>
      </c>
      <c r="F321" s="295">
        <v>1.5</v>
      </c>
      <c r="G321" s="295">
        <v>2.85</v>
      </c>
      <c r="H321" s="294">
        <v>0.15</v>
      </c>
      <c r="I321" s="298">
        <f>PRODUCT(C321:H321)</f>
        <v>2.57</v>
      </c>
      <c r="J321" s="294"/>
      <c r="K321" s="86"/>
      <c r="L321" s="86"/>
      <c r="M321" s="86"/>
      <c r="N321" s="86"/>
      <c r="O321" s="86"/>
      <c r="P321" s="86"/>
      <c r="Q321" s="86"/>
      <c r="R321" s="86"/>
      <c r="S321" s="86"/>
      <c r="T321" s="86"/>
      <c r="U321" s="86"/>
      <c r="V321" s="86"/>
      <c r="W321" s="86"/>
      <c r="X321" s="86"/>
      <c r="Y321" s="86"/>
      <c r="Z321" s="86"/>
      <c r="AA321" s="86"/>
      <c r="AB321" s="86"/>
      <c r="AC321" s="86"/>
      <c r="AD321" s="86"/>
    </row>
    <row r="322" spans="1:30" s="85" customFormat="1" ht="18.75" customHeight="1">
      <c r="A322" s="294"/>
      <c r="B322" s="297" t="s">
        <v>527</v>
      </c>
      <c r="C322" s="294">
        <v>1</v>
      </c>
      <c r="D322" s="294">
        <v>1</v>
      </c>
      <c r="E322" s="294">
        <v>2</v>
      </c>
      <c r="F322" s="295">
        <v>3.31</v>
      </c>
      <c r="G322" s="294">
        <v>0.23</v>
      </c>
      <c r="H322" s="295">
        <v>0.4</v>
      </c>
      <c r="I322" s="298">
        <f>PRODUCT(C322:H322)</f>
        <v>0.61</v>
      </c>
      <c r="J322" s="294"/>
      <c r="K322" s="86">
        <f>2.85+0.46</f>
        <v>3.31</v>
      </c>
      <c r="L322" s="86"/>
      <c r="M322" s="86"/>
      <c r="N322" s="86"/>
      <c r="O322" s="86"/>
      <c r="P322" s="86"/>
      <c r="Q322" s="86"/>
      <c r="R322" s="86"/>
      <c r="S322" s="86"/>
      <c r="T322" s="86"/>
      <c r="U322" s="86"/>
      <c r="V322" s="86"/>
      <c r="W322" s="86"/>
      <c r="X322" s="86"/>
      <c r="Y322" s="86"/>
      <c r="Z322" s="86"/>
      <c r="AA322" s="86"/>
      <c r="AB322" s="86"/>
      <c r="AC322" s="86"/>
      <c r="AD322" s="86"/>
    </row>
    <row r="323" spans="1:30" s="85" customFormat="1" ht="18.75" customHeight="1">
      <c r="A323" s="294"/>
      <c r="B323" s="297" t="s">
        <v>527</v>
      </c>
      <c r="C323" s="294">
        <v>1</v>
      </c>
      <c r="D323" s="294">
        <v>2</v>
      </c>
      <c r="E323" s="294">
        <v>2</v>
      </c>
      <c r="F323" s="295">
        <v>1.5</v>
      </c>
      <c r="G323" s="294">
        <v>0.23</v>
      </c>
      <c r="H323" s="295">
        <v>0.4</v>
      </c>
      <c r="I323" s="298">
        <f>PRODUCT(C323:H323)</f>
        <v>0.55000000000000004</v>
      </c>
      <c r="J323" s="294"/>
      <c r="K323" s="86"/>
      <c r="L323" s="86"/>
      <c r="M323" s="86"/>
      <c r="N323" s="86"/>
      <c r="O323" s="86"/>
      <c r="P323" s="86"/>
      <c r="Q323" s="86"/>
      <c r="R323" s="86"/>
      <c r="S323" s="86"/>
      <c r="T323" s="86"/>
      <c r="U323" s="86"/>
      <c r="V323" s="86"/>
      <c r="W323" s="86"/>
      <c r="X323" s="86"/>
      <c r="Y323" s="86"/>
      <c r="Z323" s="86"/>
      <c r="AA323" s="86"/>
      <c r="AB323" s="86"/>
      <c r="AC323" s="86"/>
      <c r="AD323" s="86"/>
    </row>
    <row r="324" spans="1:30" s="85" customFormat="1" ht="18.75" customHeight="1">
      <c r="A324" s="294"/>
      <c r="B324" s="299" t="s">
        <v>529</v>
      </c>
      <c r="C324" s="289"/>
      <c r="D324" s="289"/>
      <c r="E324" s="294"/>
      <c r="F324" s="289"/>
      <c r="G324" s="289"/>
      <c r="H324" s="289"/>
      <c r="I324" s="291"/>
      <c r="J324" s="294"/>
      <c r="K324" s="86"/>
      <c r="L324" s="86"/>
      <c r="M324" s="86"/>
      <c r="N324" s="86"/>
      <c r="O324" s="86"/>
      <c r="P324" s="86"/>
      <c r="Q324" s="86"/>
      <c r="R324" s="86"/>
      <c r="S324" s="86"/>
      <c r="T324" s="86"/>
      <c r="U324" s="86"/>
      <c r="V324" s="86"/>
      <c r="W324" s="86"/>
      <c r="X324" s="86"/>
      <c r="Y324" s="86"/>
      <c r="Z324" s="86"/>
      <c r="AA324" s="86"/>
      <c r="AB324" s="86"/>
      <c r="AC324" s="86"/>
      <c r="AD324" s="86"/>
    </row>
    <row r="325" spans="1:30" s="85" customFormat="1" ht="18.75" customHeight="1">
      <c r="A325" s="294"/>
      <c r="B325" s="297" t="s">
        <v>833</v>
      </c>
      <c r="C325" s="294">
        <v>1</v>
      </c>
      <c r="D325" s="294">
        <v>2</v>
      </c>
      <c r="E325" s="294">
        <v>1</v>
      </c>
      <c r="F325" s="295">
        <v>3.3</v>
      </c>
      <c r="G325" s="295">
        <v>1.5</v>
      </c>
      <c r="H325" s="294">
        <v>0.15</v>
      </c>
      <c r="I325" s="298">
        <f>PRODUCT(C325:H325)</f>
        <v>1.49</v>
      </c>
      <c r="J325" s="294"/>
      <c r="K325" s="86"/>
      <c r="L325" s="86"/>
      <c r="M325" s="86"/>
      <c r="N325" s="86"/>
      <c r="O325" s="86"/>
      <c r="P325" s="86"/>
      <c r="Q325" s="86"/>
      <c r="R325" s="86"/>
      <c r="S325" s="86"/>
      <c r="T325" s="86"/>
      <c r="U325" s="86"/>
      <c r="V325" s="86"/>
      <c r="W325" s="86"/>
      <c r="X325" s="86"/>
      <c r="Y325" s="86"/>
      <c r="Z325" s="86"/>
      <c r="AA325" s="86"/>
      <c r="AB325" s="86"/>
      <c r="AC325" s="86"/>
      <c r="AD325" s="86"/>
    </row>
    <row r="326" spans="1:30" s="85" customFormat="1" ht="18.75" customHeight="1">
      <c r="A326" s="294"/>
      <c r="B326" s="297" t="s">
        <v>528</v>
      </c>
      <c r="C326" s="294">
        <v>0.5</v>
      </c>
      <c r="D326" s="294">
        <v>16</v>
      </c>
      <c r="E326" s="294">
        <v>1</v>
      </c>
      <c r="F326" s="295">
        <v>1.5</v>
      </c>
      <c r="G326" s="295">
        <v>0.3</v>
      </c>
      <c r="H326" s="294">
        <v>0.15</v>
      </c>
      <c r="I326" s="298">
        <f>PRODUCT(C326:H326)</f>
        <v>0.54</v>
      </c>
      <c r="J326" s="294"/>
      <c r="K326" s="86"/>
      <c r="L326" s="86"/>
      <c r="M326" s="86"/>
      <c r="N326" s="86"/>
      <c r="O326" s="86"/>
      <c r="P326" s="86"/>
      <c r="Q326" s="86"/>
      <c r="R326" s="86"/>
      <c r="S326" s="86"/>
      <c r="T326" s="86"/>
      <c r="U326" s="86"/>
      <c r="V326" s="86"/>
      <c r="W326" s="86"/>
      <c r="X326" s="86"/>
      <c r="Y326" s="86"/>
      <c r="Z326" s="86"/>
      <c r="AA326" s="86"/>
      <c r="AB326" s="86"/>
      <c r="AC326" s="86"/>
      <c r="AD326" s="86"/>
    </row>
    <row r="327" spans="1:30" s="85" customFormat="1" ht="18.75" customHeight="1">
      <c r="A327" s="294"/>
      <c r="B327" s="297" t="s">
        <v>77</v>
      </c>
      <c r="C327" s="294">
        <v>1</v>
      </c>
      <c r="D327" s="294">
        <v>2</v>
      </c>
      <c r="E327" s="294">
        <v>1</v>
      </c>
      <c r="F327" s="295">
        <v>1.5</v>
      </c>
      <c r="G327" s="295">
        <v>3.53</v>
      </c>
      <c r="H327" s="294">
        <v>0.15</v>
      </c>
      <c r="I327" s="298">
        <f>PRODUCT(C327:H327)</f>
        <v>1.59</v>
      </c>
      <c r="J327" s="294"/>
      <c r="K327" s="86"/>
      <c r="L327" s="86"/>
      <c r="M327" s="86"/>
      <c r="N327" s="86"/>
      <c r="O327" s="86"/>
      <c r="P327" s="86"/>
      <c r="Q327" s="86"/>
      <c r="R327" s="86"/>
      <c r="S327" s="86"/>
      <c r="T327" s="86"/>
      <c r="U327" s="86"/>
      <c r="V327" s="86"/>
      <c r="W327" s="86"/>
      <c r="X327" s="86"/>
      <c r="Y327" s="86"/>
      <c r="Z327" s="86"/>
      <c r="AA327" s="86"/>
      <c r="AB327" s="86"/>
      <c r="AC327" s="86"/>
      <c r="AD327" s="86"/>
    </row>
    <row r="328" spans="1:30" s="85" customFormat="1" ht="18.75" customHeight="1">
      <c r="A328" s="294"/>
      <c r="B328" s="297" t="s">
        <v>527</v>
      </c>
      <c r="C328" s="294">
        <v>1</v>
      </c>
      <c r="D328" s="294">
        <v>1</v>
      </c>
      <c r="E328" s="294">
        <v>1</v>
      </c>
      <c r="F328" s="295">
        <v>3.53</v>
      </c>
      <c r="G328" s="294">
        <v>0.23</v>
      </c>
      <c r="H328" s="295">
        <v>0.4</v>
      </c>
      <c r="I328" s="298">
        <f>PRODUCT(C328:H328)</f>
        <v>0.32</v>
      </c>
      <c r="J328" s="294"/>
      <c r="K328" s="86">
        <f>2.85+0.46</f>
        <v>3.31</v>
      </c>
      <c r="L328" s="86"/>
      <c r="M328" s="86"/>
      <c r="N328" s="86"/>
      <c r="O328" s="86"/>
      <c r="P328" s="86"/>
      <c r="Q328" s="86"/>
      <c r="R328" s="86"/>
      <c r="S328" s="86"/>
      <c r="T328" s="86"/>
      <c r="U328" s="86"/>
      <c r="V328" s="86"/>
      <c r="W328" s="86"/>
      <c r="X328" s="86"/>
      <c r="Y328" s="86"/>
      <c r="Z328" s="86"/>
      <c r="AA328" s="86"/>
      <c r="AB328" s="86"/>
      <c r="AC328" s="86"/>
      <c r="AD328" s="86"/>
    </row>
    <row r="329" spans="1:30" s="85" customFormat="1" ht="18.75" customHeight="1">
      <c r="A329" s="294"/>
      <c r="B329" s="297" t="s">
        <v>527</v>
      </c>
      <c r="C329" s="294">
        <v>1</v>
      </c>
      <c r="D329" s="294">
        <v>2</v>
      </c>
      <c r="E329" s="294">
        <v>1</v>
      </c>
      <c r="F329" s="295">
        <v>1.5</v>
      </c>
      <c r="G329" s="294">
        <v>0.23</v>
      </c>
      <c r="H329" s="295">
        <v>0.4</v>
      </c>
      <c r="I329" s="298">
        <f>PRODUCT(C329:H329)</f>
        <v>0.28000000000000003</v>
      </c>
      <c r="J329" s="294"/>
      <c r="K329" s="86"/>
      <c r="L329" s="86"/>
      <c r="M329" s="86"/>
      <c r="N329" s="86"/>
      <c r="O329" s="86"/>
      <c r="P329" s="86"/>
      <c r="Q329" s="86"/>
      <c r="R329" s="86"/>
      <c r="S329" s="86"/>
      <c r="T329" s="86"/>
      <c r="U329" s="86"/>
      <c r="V329" s="86"/>
      <c r="W329" s="86"/>
      <c r="X329" s="86"/>
      <c r="Y329" s="86"/>
      <c r="Z329" s="86"/>
      <c r="AA329" s="86"/>
      <c r="AB329" s="86"/>
      <c r="AC329" s="86"/>
      <c r="AD329" s="86"/>
    </row>
    <row r="330" spans="1:30" s="85" customFormat="1" ht="18.75" customHeight="1">
      <c r="A330" s="294"/>
      <c r="B330" s="290" t="s">
        <v>532</v>
      </c>
      <c r="C330" s="294"/>
      <c r="D330" s="294"/>
      <c r="E330" s="294"/>
      <c r="F330" s="300"/>
      <c r="G330" s="294"/>
      <c r="H330" s="294"/>
      <c r="I330" s="298"/>
      <c r="J330" s="294"/>
      <c r="K330" s="86"/>
      <c r="L330" s="86"/>
      <c r="M330" s="86"/>
      <c r="N330" s="86"/>
      <c r="O330" s="86"/>
      <c r="P330" s="86"/>
      <c r="Q330" s="86"/>
      <c r="R330" s="86"/>
      <c r="S330" s="86"/>
      <c r="T330" s="86"/>
      <c r="U330" s="86"/>
      <c r="V330" s="86"/>
      <c r="W330" s="86"/>
      <c r="X330" s="86"/>
      <c r="Y330" s="86"/>
      <c r="Z330" s="86"/>
      <c r="AA330" s="86"/>
      <c r="AB330" s="86"/>
      <c r="AC330" s="86"/>
      <c r="AD330" s="86"/>
    </row>
    <row r="331" spans="1:30" s="85" customFormat="1" ht="18.75" customHeight="1">
      <c r="A331" s="294"/>
      <c r="B331" s="297" t="s">
        <v>69</v>
      </c>
      <c r="C331" s="294">
        <v>1</v>
      </c>
      <c r="D331" s="294">
        <v>1</v>
      </c>
      <c r="E331" s="294">
        <v>4</v>
      </c>
      <c r="F331" s="295">
        <v>1.96</v>
      </c>
      <c r="G331" s="294">
        <v>0.23</v>
      </c>
      <c r="H331" s="294">
        <v>0.05</v>
      </c>
      <c r="I331" s="298">
        <f>C331*D331*E331*F331*G331*H331</f>
        <v>0.09</v>
      </c>
      <c r="J331" s="294"/>
      <c r="K331" s="86"/>
      <c r="L331" s="86"/>
      <c r="M331" s="86"/>
      <c r="N331" s="86">
        <f>1.5+0.46</f>
        <v>1.96</v>
      </c>
      <c r="O331" s="86"/>
      <c r="P331" s="86"/>
      <c r="Q331" s="86"/>
      <c r="R331" s="86"/>
      <c r="S331" s="86"/>
      <c r="T331" s="86"/>
      <c r="U331" s="86"/>
      <c r="V331" s="86"/>
      <c r="W331" s="86"/>
      <c r="X331" s="86"/>
      <c r="Y331" s="86"/>
      <c r="Z331" s="86"/>
      <c r="AA331" s="86"/>
      <c r="AB331" s="86"/>
      <c r="AC331" s="86"/>
      <c r="AD331" s="86"/>
    </row>
    <row r="332" spans="1:30" s="85" customFormat="1" ht="18.75" customHeight="1">
      <c r="A332" s="294"/>
      <c r="B332" s="297" t="s">
        <v>846</v>
      </c>
      <c r="C332" s="294">
        <v>1</v>
      </c>
      <c r="D332" s="294">
        <v>1</v>
      </c>
      <c r="E332" s="294">
        <v>5</v>
      </c>
      <c r="F332" s="295">
        <v>1.96</v>
      </c>
      <c r="G332" s="294">
        <v>0.23</v>
      </c>
      <c r="H332" s="294">
        <v>0.05</v>
      </c>
      <c r="I332" s="298">
        <f>C332*D332*E332*F332*G332*H332</f>
        <v>0.11</v>
      </c>
      <c r="J332" s="294"/>
      <c r="K332" s="86"/>
      <c r="L332" s="86"/>
      <c r="M332" s="86"/>
      <c r="N332" s="86">
        <f>1.5+0.46</f>
        <v>1.96</v>
      </c>
      <c r="O332" s="86"/>
      <c r="P332" s="86"/>
      <c r="Q332" s="86"/>
      <c r="R332" s="86"/>
      <c r="S332" s="86"/>
      <c r="T332" s="86"/>
      <c r="U332" s="86"/>
      <c r="V332" s="86"/>
      <c r="W332" s="86"/>
      <c r="X332" s="86"/>
      <c r="Y332" s="86"/>
      <c r="Z332" s="86"/>
      <c r="AA332" s="86"/>
      <c r="AB332" s="86"/>
      <c r="AC332" s="86"/>
      <c r="AD332" s="86"/>
    </row>
    <row r="333" spans="1:30" s="85" customFormat="1" ht="18.75" customHeight="1">
      <c r="A333" s="294"/>
      <c r="B333" s="297" t="s">
        <v>844</v>
      </c>
      <c r="C333" s="294">
        <v>1</v>
      </c>
      <c r="D333" s="294">
        <v>1</v>
      </c>
      <c r="E333" s="294">
        <v>7</v>
      </c>
      <c r="F333" s="295">
        <v>1.66</v>
      </c>
      <c r="G333" s="294">
        <v>0.23</v>
      </c>
      <c r="H333" s="294">
        <v>0.05</v>
      </c>
      <c r="I333" s="298">
        <f>C333*D333*E333*F333*G333*H333</f>
        <v>0.13</v>
      </c>
      <c r="J333" s="294"/>
      <c r="K333" s="86"/>
      <c r="L333" s="86"/>
      <c r="M333" s="86"/>
      <c r="N333" s="86">
        <f>1.2+0.46</f>
        <v>1.66</v>
      </c>
      <c r="O333" s="86"/>
      <c r="P333" s="86"/>
      <c r="Q333" s="86"/>
      <c r="R333" s="86"/>
      <c r="S333" s="86"/>
      <c r="T333" s="86"/>
      <c r="U333" s="86"/>
      <c r="V333" s="86"/>
      <c r="W333" s="86"/>
      <c r="X333" s="86"/>
      <c r="Y333" s="86"/>
      <c r="Z333" s="86"/>
      <c r="AA333" s="86"/>
      <c r="AB333" s="86"/>
      <c r="AC333" s="86"/>
      <c r="AD333" s="86"/>
    </row>
    <row r="334" spans="1:30" s="85" customFormat="1" ht="18.75" customHeight="1">
      <c r="A334" s="294"/>
      <c r="B334" s="290" t="s">
        <v>531</v>
      </c>
      <c r="C334" s="294"/>
      <c r="D334" s="294"/>
      <c r="E334" s="294"/>
      <c r="F334" s="295"/>
      <c r="G334" s="294"/>
      <c r="H334" s="294"/>
      <c r="I334" s="298"/>
      <c r="J334" s="294"/>
      <c r="K334" s="86"/>
      <c r="L334" s="86"/>
      <c r="M334" s="86"/>
      <c r="N334" s="86"/>
      <c r="O334" s="86"/>
      <c r="P334" s="86"/>
      <c r="Q334" s="86"/>
      <c r="R334" s="86"/>
      <c r="S334" s="86"/>
      <c r="T334" s="86"/>
      <c r="U334" s="86"/>
      <c r="V334" s="86"/>
      <c r="W334" s="86"/>
      <c r="X334" s="86"/>
      <c r="Y334" s="86"/>
      <c r="Z334" s="86"/>
      <c r="AA334" s="86"/>
      <c r="AB334" s="86"/>
      <c r="AC334" s="86"/>
      <c r="AD334" s="86"/>
    </row>
    <row r="335" spans="1:30" s="85" customFormat="1" ht="18.75" customHeight="1">
      <c r="A335" s="294"/>
      <c r="B335" s="297" t="s">
        <v>69</v>
      </c>
      <c r="C335" s="294">
        <v>4</v>
      </c>
      <c r="D335" s="294">
        <v>1</v>
      </c>
      <c r="E335" s="294">
        <v>1</v>
      </c>
      <c r="F335" s="295">
        <v>1.96</v>
      </c>
      <c r="G335" s="294">
        <v>0.23</v>
      </c>
      <c r="H335" s="294">
        <v>0.15</v>
      </c>
      <c r="I335" s="298">
        <f t="shared" ref="I335:I345" si="15">C335*D335*E335*F335*G335*H335</f>
        <v>0.27</v>
      </c>
      <c r="J335" s="294"/>
      <c r="K335" s="86"/>
      <c r="L335" s="86"/>
      <c r="M335" s="86"/>
      <c r="N335" s="86"/>
      <c r="O335" s="86"/>
      <c r="P335" s="86"/>
      <c r="Q335" s="86"/>
      <c r="R335" s="86"/>
      <c r="S335" s="86"/>
      <c r="T335" s="86"/>
      <c r="U335" s="86"/>
      <c r="V335" s="86"/>
      <c r="W335" s="86"/>
      <c r="X335" s="86"/>
      <c r="Y335" s="86"/>
      <c r="Z335" s="86"/>
      <c r="AA335" s="86"/>
      <c r="AB335" s="86"/>
      <c r="AC335" s="86"/>
      <c r="AD335" s="86"/>
    </row>
    <row r="336" spans="1:30" s="85" customFormat="1" ht="18.75" customHeight="1">
      <c r="A336" s="294"/>
      <c r="B336" s="297" t="s">
        <v>847</v>
      </c>
      <c r="C336" s="294">
        <v>4</v>
      </c>
      <c r="D336" s="294">
        <v>1</v>
      </c>
      <c r="E336" s="294">
        <v>1</v>
      </c>
      <c r="F336" s="295">
        <v>1.96</v>
      </c>
      <c r="G336" s="294">
        <v>0.45</v>
      </c>
      <c r="H336" s="294">
        <v>6.25E-2</v>
      </c>
      <c r="I336" s="298">
        <f t="shared" si="15"/>
        <v>0.22</v>
      </c>
      <c r="J336" s="294"/>
      <c r="K336" s="86"/>
      <c r="L336" s="86"/>
      <c r="M336" s="86"/>
      <c r="N336" s="86"/>
      <c r="O336" s="86"/>
      <c r="P336" s="86"/>
      <c r="Q336" s="86"/>
      <c r="R336" s="86"/>
      <c r="S336" s="86"/>
      <c r="T336" s="86"/>
      <c r="U336" s="86"/>
      <c r="V336" s="86"/>
      <c r="W336" s="86"/>
      <c r="X336" s="86"/>
      <c r="Y336" s="86"/>
      <c r="Z336" s="86"/>
      <c r="AA336" s="86"/>
      <c r="AB336" s="86"/>
      <c r="AC336" s="86"/>
      <c r="AD336" s="86"/>
    </row>
    <row r="337" spans="1:30" s="85" customFormat="1" ht="18.75" customHeight="1">
      <c r="A337" s="294"/>
      <c r="B337" s="297" t="s">
        <v>846</v>
      </c>
      <c r="C337" s="294">
        <v>1</v>
      </c>
      <c r="D337" s="294">
        <v>1</v>
      </c>
      <c r="E337" s="294">
        <v>5</v>
      </c>
      <c r="F337" s="295">
        <v>1.96</v>
      </c>
      <c r="G337" s="294">
        <v>0.23</v>
      </c>
      <c r="H337" s="294">
        <v>0.15</v>
      </c>
      <c r="I337" s="298">
        <f t="shared" si="15"/>
        <v>0.34</v>
      </c>
      <c r="J337" s="294"/>
      <c r="K337" s="86"/>
      <c r="L337" s="86"/>
      <c r="M337" s="86"/>
      <c r="N337" s="86"/>
      <c r="O337" s="86"/>
      <c r="P337" s="86"/>
      <c r="Q337" s="86"/>
      <c r="R337" s="86"/>
      <c r="S337" s="86"/>
      <c r="T337" s="86"/>
      <c r="U337" s="86"/>
      <c r="V337" s="86"/>
      <c r="W337" s="86"/>
      <c r="X337" s="86"/>
      <c r="Y337" s="86"/>
      <c r="Z337" s="86"/>
      <c r="AA337" s="86"/>
      <c r="AB337" s="86"/>
      <c r="AC337" s="86"/>
      <c r="AD337" s="86"/>
    </row>
    <row r="338" spans="1:30" s="85" customFormat="1" ht="18.75" customHeight="1">
      <c r="A338" s="294"/>
      <c r="B338" s="297" t="s">
        <v>845</v>
      </c>
      <c r="C338" s="294">
        <v>1</v>
      </c>
      <c r="D338" s="294">
        <v>1</v>
      </c>
      <c r="E338" s="294">
        <v>5</v>
      </c>
      <c r="F338" s="295">
        <v>1.96</v>
      </c>
      <c r="G338" s="294">
        <v>0.45</v>
      </c>
      <c r="H338" s="294">
        <v>6.25E-2</v>
      </c>
      <c r="I338" s="298">
        <f t="shared" si="15"/>
        <v>0.28000000000000003</v>
      </c>
      <c r="J338" s="294"/>
      <c r="K338" s="86"/>
      <c r="L338" s="86"/>
      <c r="M338" s="86"/>
      <c r="N338" s="86"/>
      <c r="O338" s="86"/>
      <c r="P338" s="86"/>
      <c r="Q338" s="86"/>
      <c r="R338" s="86"/>
      <c r="S338" s="86"/>
      <c r="T338" s="86"/>
      <c r="U338" s="86"/>
      <c r="V338" s="86"/>
      <c r="W338" s="86"/>
      <c r="X338" s="86"/>
      <c r="Y338" s="86"/>
      <c r="Z338" s="86"/>
      <c r="AA338" s="86"/>
      <c r="AB338" s="86"/>
      <c r="AC338" s="86"/>
      <c r="AD338" s="86"/>
    </row>
    <row r="339" spans="1:30" s="85" customFormat="1" ht="22.5" customHeight="1">
      <c r="A339" s="294"/>
      <c r="B339" s="297" t="s">
        <v>844</v>
      </c>
      <c r="C339" s="294">
        <v>1</v>
      </c>
      <c r="D339" s="294">
        <v>1</v>
      </c>
      <c r="E339" s="294">
        <v>7</v>
      </c>
      <c r="F339" s="295">
        <v>1.66</v>
      </c>
      <c r="G339" s="294">
        <v>0.23</v>
      </c>
      <c r="H339" s="294">
        <v>0.15</v>
      </c>
      <c r="I339" s="298">
        <f t="shared" si="15"/>
        <v>0.4</v>
      </c>
      <c r="J339" s="294"/>
      <c r="K339" s="86"/>
      <c r="L339" s="86"/>
      <c r="M339" s="86"/>
      <c r="N339" s="86"/>
      <c r="O339" s="86"/>
      <c r="P339" s="86"/>
      <c r="Q339" s="86"/>
      <c r="R339" s="86"/>
      <c r="S339" s="86"/>
      <c r="T339" s="86"/>
      <c r="U339" s="86"/>
      <c r="V339" s="86"/>
      <c r="W339" s="86"/>
      <c r="X339" s="86"/>
      <c r="Y339" s="86"/>
      <c r="Z339" s="86"/>
      <c r="AA339" s="86"/>
      <c r="AB339" s="86"/>
      <c r="AC339" s="86"/>
      <c r="AD339" s="86"/>
    </row>
    <row r="340" spans="1:30" s="85" customFormat="1" ht="22.5" customHeight="1">
      <c r="A340" s="294"/>
      <c r="B340" s="297" t="s">
        <v>844</v>
      </c>
      <c r="C340" s="294">
        <v>1</v>
      </c>
      <c r="D340" s="294">
        <v>1</v>
      </c>
      <c r="E340" s="294">
        <v>7</v>
      </c>
      <c r="F340" s="295">
        <v>1.66</v>
      </c>
      <c r="G340" s="294">
        <v>0.45</v>
      </c>
      <c r="H340" s="294">
        <v>6.25E-2</v>
      </c>
      <c r="I340" s="298">
        <f t="shared" si="15"/>
        <v>0.33</v>
      </c>
      <c r="J340" s="294"/>
      <c r="K340" s="86"/>
      <c r="L340" s="86"/>
      <c r="M340" s="86"/>
      <c r="N340" s="86"/>
      <c r="O340" s="86"/>
      <c r="P340" s="86"/>
      <c r="Q340" s="86"/>
      <c r="R340" s="86"/>
      <c r="S340" s="86"/>
      <c r="T340" s="86"/>
      <c r="U340" s="86"/>
      <c r="V340" s="86"/>
      <c r="W340" s="86"/>
      <c r="X340" s="86"/>
      <c r="Y340" s="86"/>
      <c r="Z340" s="86"/>
      <c r="AA340" s="86"/>
      <c r="AB340" s="86"/>
      <c r="AC340" s="86"/>
      <c r="AD340" s="86"/>
    </row>
    <row r="341" spans="1:30" s="85" customFormat="1" ht="24" customHeight="1">
      <c r="A341" s="294"/>
      <c r="B341" s="297" t="s">
        <v>66</v>
      </c>
      <c r="C341" s="294">
        <v>1</v>
      </c>
      <c r="D341" s="294">
        <v>1</v>
      </c>
      <c r="E341" s="294">
        <v>2</v>
      </c>
      <c r="F341" s="295">
        <v>1.36</v>
      </c>
      <c r="G341" s="294">
        <v>0.23</v>
      </c>
      <c r="H341" s="294">
        <v>0.15</v>
      </c>
      <c r="I341" s="298">
        <f t="shared" si="15"/>
        <v>0.09</v>
      </c>
      <c r="J341" s="294"/>
      <c r="K341" s="86"/>
      <c r="L341" s="86"/>
      <c r="M341" s="86"/>
      <c r="N341" s="86">
        <f>0.9+0.46</f>
        <v>1.36</v>
      </c>
      <c r="O341" s="86"/>
      <c r="P341" s="86"/>
      <c r="Q341" s="86"/>
      <c r="R341" s="86"/>
      <c r="S341" s="86"/>
      <c r="T341" s="86"/>
      <c r="U341" s="86"/>
      <c r="V341" s="86"/>
      <c r="W341" s="86"/>
      <c r="X341" s="86"/>
      <c r="Y341" s="86"/>
      <c r="Z341" s="86"/>
      <c r="AA341" s="86"/>
      <c r="AB341" s="86"/>
      <c r="AC341" s="86"/>
      <c r="AD341" s="86"/>
    </row>
    <row r="342" spans="1:30" s="85" customFormat="1" ht="24" customHeight="1">
      <c r="A342" s="294"/>
      <c r="B342" s="297" t="s">
        <v>843</v>
      </c>
      <c r="C342" s="294">
        <v>1</v>
      </c>
      <c r="D342" s="294">
        <v>1</v>
      </c>
      <c r="E342" s="294">
        <v>3</v>
      </c>
      <c r="F342" s="295">
        <v>1.96</v>
      </c>
      <c r="G342" s="294">
        <v>0.23</v>
      </c>
      <c r="H342" s="294">
        <v>0.15</v>
      </c>
      <c r="I342" s="298">
        <f t="shared" si="15"/>
        <v>0.2</v>
      </c>
      <c r="J342" s="294"/>
      <c r="K342" s="86"/>
      <c r="L342" s="86"/>
      <c r="M342" s="86"/>
      <c r="N342" s="86">
        <f>1.5+0.46</f>
        <v>1.96</v>
      </c>
      <c r="O342" s="86"/>
      <c r="P342" s="86"/>
      <c r="Q342" s="86"/>
      <c r="R342" s="86"/>
      <c r="S342" s="86"/>
      <c r="T342" s="86"/>
      <c r="U342" s="86"/>
      <c r="V342" s="86"/>
      <c r="W342" s="86"/>
      <c r="X342" s="86"/>
      <c r="Y342" s="86"/>
      <c r="Z342" s="86"/>
      <c r="AA342" s="86"/>
      <c r="AB342" s="86"/>
      <c r="AC342" s="86"/>
      <c r="AD342" s="86"/>
    </row>
    <row r="343" spans="1:30" s="85" customFormat="1" ht="24" customHeight="1">
      <c r="A343" s="294"/>
      <c r="B343" s="297" t="s">
        <v>824</v>
      </c>
      <c r="C343" s="294">
        <v>1</v>
      </c>
      <c r="D343" s="294">
        <v>1</v>
      </c>
      <c r="E343" s="294">
        <v>2</v>
      </c>
      <c r="F343" s="295">
        <v>1.46</v>
      </c>
      <c r="G343" s="294">
        <v>0.23</v>
      </c>
      <c r="H343" s="294">
        <v>0.15</v>
      </c>
      <c r="I343" s="298">
        <f t="shared" si="15"/>
        <v>0.1</v>
      </c>
      <c r="J343" s="294"/>
      <c r="K343" s="86"/>
      <c r="L343" s="86"/>
      <c r="M343" s="86"/>
      <c r="N343" s="86"/>
      <c r="O343" s="86"/>
      <c r="P343" s="86"/>
      <c r="Q343" s="86"/>
      <c r="R343" s="86"/>
      <c r="S343" s="86"/>
      <c r="T343" s="86"/>
      <c r="U343" s="86"/>
      <c r="V343" s="86"/>
      <c r="W343" s="86"/>
      <c r="X343" s="86"/>
      <c r="Y343" s="86"/>
      <c r="Z343" s="86"/>
      <c r="AA343" s="86"/>
      <c r="AB343" s="86"/>
      <c r="AC343" s="86"/>
      <c r="AD343" s="86"/>
    </row>
    <row r="344" spans="1:30" s="85" customFormat="1" ht="24" customHeight="1">
      <c r="A344" s="294"/>
      <c r="B344" s="297" t="s">
        <v>842</v>
      </c>
      <c r="C344" s="294">
        <v>1</v>
      </c>
      <c r="D344" s="294">
        <v>2</v>
      </c>
      <c r="E344" s="294">
        <v>2</v>
      </c>
      <c r="F344" s="300">
        <v>1.96</v>
      </c>
      <c r="G344" s="294">
        <v>0.23</v>
      </c>
      <c r="H344" s="294">
        <v>0.15</v>
      </c>
      <c r="I344" s="298">
        <f t="shared" si="15"/>
        <v>0.27</v>
      </c>
      <c r="J344" s="294"/>
      <c r="K344" s="86"/>
      <c r="L344" s="86"/>
      <c r="M344" s="86"/>
      <c r="N344" s="86">
        <f>1.5+0.46</f>
        <v>1.96</v>
      </c>
      <c r="O344" s="86"/>
      <c r="P344" s="86"/>
      <c r="Q344" s="86"/>
      <c r="R344" s="86"/>
      <c r="S344" s="86"/>
      <c r="T344" s="86"/>
      <c r="U344" s="86"/>
      <c r="V344" s="86"/>
      <c r="W344" s="86"/>
      <c r="X344" s="86"/>
      <c r="Y344" s="86"/>
      <c r="Z344" s="86"/>
      <c r="AA344" s="86"/>
      <c r="AB344" s="86"/>
      <c r="AC344" s="86"/>
      <c r="AD344" s="86"/>
    </row>
    <row r="345" spans="1:30" s="85" customFormat="1" ht="24" customHeight="1">
      <c r="A345" s="294"/>
      <c r="B345" s="297" t="s">
        <v>841</v>
      </c>
      <c r="C345" s="294">
        <v>1</v>
      </c>
      <c r="D345" s="294">
        <v>2</v>
      </c>
      <c r="E345" s="294">
        <v>2</v>
      </c>
      <c r="F345" s="300">
        <v>1.66</v>
      </c>
      <c r="G345" s="294">
        <v>0.23</v>
      </c>
      <c r="H345" s="294">
        <v>0.15</v>
      </c>
      <c r="I345" s="298">
        <f t="shared" si="15"/>
        <v>0.23</v>
      </c>
      <c r="J345" s="294"/>
      <c r="K345" s="86"/>
      <c r="L345" s="86"/>
      <c r="M345" s="86"/>
      <c r="N345" s="86">
        <f>1.2+0.46</f>
        <v>1.66</v>
      </c>
      <c r="O345" s="86"/>
      <c r="P345" s="86"/>
      <c r="Q345" s="86"/>
      <c r="R345" s="86"/>
      <c r="S345" s="86"/>
      <c r="T345" s="86"/>
      <c r="U345" s="86"/>
      <c r="V345" s="86"/>
      <c r="W345" s="86"/>
      <c r="X345" s="86"/>
      <c r="Y345" s="86"/>
      <c r="Z345" s="86"/>
      <c r="AA345" s="86"/>
      <c r="AB345" s="86"/>
      <c r="AC345" s="86"/>
      <c r="AD345" s="86"/>
    </row>
    <row r="346" spans="1:30" s="115" customFormat="1" ht="18.75" customHeight="1">
      <c r="A346" s="438"/>
      <c r="B346" s="306" t="s">
        <v>813</v>
      </c>
      <c r="C346" s="306"/>
      <c r="D346" s="306"/>
      <c r="E346" s="306"/>
      <c r="F346" s="307"/>
      <c r="G346" s="308"/>
      <c r="H346" s="308"/>
      <c r="I346" s="323"/>
      <c r="J346" s="307"/>
      <c r="K346" s="117"/>
      <c r="L346" s="117"/>
      <c r="M346" s="117"/>
      <c r="N346" s="116"/>
      <c r="O346" s="116"/>
      <c r="P346" s="116"/>
      <c r="Q346" s="116"/>
      <c r="R346" s="116"/>
      <c r="S346" s="116"/>
      <c r="T346" s="116"/>
      <c r="U346" s="116"/>
      <c r="V346" s="116"/>
      <c r="W346" s="116"/>
      <c r="X346" s="116"/>
      <c r="Y346" s="116"/>
      <c r="Z346" s="116"/>
      <c r="AA346" s="116"/>
      <c r="AB346" s="116"/>
      <c r="AC346" s="116"/>
      <c r="AD346" s="116"/>
    </row>
    <row r="347" spans="1:30" s="118" customFormat="1" ht="23.25">
      <c r="A347" s="303"/>
      <c r="B347" s="439" t="s">
        <v>522</v>
      </c>
      <c r="C347" s="346">
        <v>10</v>
      </c>
      <c r="D347" s="346">
        <v>1</v>
      </c>
      <c r="E347" s="346">
        <v>1</v>
      </c>
      <c r="F347" s="440">
        <v>3.35</v>
      </c>
      <c r="G347" s="300">
        <v>5.18</v>
      </c>
      <c r="H347" s="346">
        <v>0.125</v>
      </c>
      <c r="I347" s="298">
        <f t="shared" ref="I347:I359" si="16">PRODUCT(C347:H347)</f>
        <v>21.69</v>
      </c>
      <c r="J347" s="303"/>
    </row>
    <row r="348" spans="1:30" s="118" customFormat="1" ht="23.25">
      <c r="A348" s="303"/>
      <c r="B348" s="439" t="s">
        <v>430</v>
      </c>
      <c r="C348" s="346">
        <v>10</v>
      </c>
      <c r="D348" s="346">
        <v>1</v>
      </c>
      <c r="E348" s="346">
        <v>1</v>
      </c>
      <c r="F348" s="440">
        <v>3.35</v>
      </c>
      <c r="G348" s="300">
        <v>3.6</v>
      </c>
      <c r="H348" s="346">
        <v>0.125</v>
      </c>
      <c r="I348" s="298">
        <f t="shared" si="16"/>
        <v>15.08</v>
      </c>
      <c r="J348" s="303"/>
    </row>
    <row r="349" spans="1:30" s="118" customFormat="1" ht="23.25">
      <c r="A349" s="303"/>
      <c r="B349" s="439" t="s">
        <v>521</v>
      </c>
      <c r="C349" s="346">
        <v>10</v>
      </c>
      <c r="D349" s="346">
        <v>1</v>
      </c>
      <c r="E349" s="346">
        <v>1</v>
      </c>
      <c r="F349" s="440">
        <v>1.2</v>
      </c>
      <c r="G349" s="300">
        <v>2.2850000000000001</v>
      </c>
      <c r="H349" s="346">
        <v>0.15</v>
      </c>
      <c r="I349" s="298">
        <f t="shared" si="16"/>
        <v>4.1100000000000003</v>
      </c>
      <c r="J349" s="303"/>
    </row>
    <row r="350" spans="1:30" s="118" customFormat="1" ht="23.25">
      <c r="A350" s="303"/>
      <c r="B350" s="439" t="s">
        <v>419</v>
      </c>
      <c r="C350" s="346">
        <v>10</v>
      </c>
      <c r="D350" s="346">
        <v>1</v>
      </c>
      <c r="E350" s="346">
        <v>1</v>
      </c>
      <c r="F350" s="440">
        <v>2.8</v>
      </c>
      <c r="G350" s="300">
        <v>1.1000000000000001</v>
      </c>
      <c r="H350" s="346">
        <v>0.15</v>
      </c>
      <c r="I350" s="298">
        <f t="shared" si="16"/>
        <v>4.62</v>
      </c>
      <c r="J350" s="303"/>
    </row>
    <row r="351" spans="1:30" s="118" customFormat="1" ht="23.25">
      <c r="A351" s="303"/>
      <c r="B351" s="439" t="s">
        <v>85</v>
      </c>
      <c r="C351" s="346">
        <v>10</v>
      </c>
      <c r="D351" s="346">
        <v>1</v>
      </c>
      <c r="E351" s="346">
        <v>1</v>
      </c>
      <c r="F351" s="441">
        <v>2.8</v>
      </c>
      <c r="G351" s="295">
        <v>2.4</v>
      </c>
      <c r="H351" s="346">
        <v>0.125</v>
      </c>
      <c r="I351" s="298">
        <f t="shared" si="16"/>
        <v>8.4</v>
      </c>
      <c r="J351" s="303"/>
    </row>
    <row r="352" spans="1:30" s="118" customFormat="1" ht="23.25">
      <c r="A352" s="303"/>
      <c r="B352" s="439" t="s">
        <v>78</v>
      </c>
      <c r="C352" s="346">
        <v>10</v>
      </c>
      <c r="D352" s="346">
        <v>1</v>
      </c>
      <c r="E352" s="346">
        <v>1</v>
      </c>
      <c r="F352" s="440">
        <v>1.2</v>
      </c>
      <c r="G352" s="300">
        <v>2.1</v>
      </c>
      <c r="H352" s="346">
        <v>0.15</v>
      </c>
      <c r="I352" s="298">
        <f t="shared" si="16"/>
        <v>3.78</v>
      </c>
      <c r="J352" s="303"/>
    </row>
    <row r="353" spans="1:15" s="118" customFormat="1" ht="23.25">
      <c r="A353" s="303"/>
      <c r="B353" s="439" t="s">
        <v>520</v>
      </c>
      <c r="C353" s="346">
        <v>10</v>
      </c>
      <c r="D353" s="346">
        <v>1</v>
      </c>
      <c r="E353" s="346">
        <v>1</v>
      </c>
      <c r="F353" s="440">
        <v>1.4</v>
      </c>
      <c r="G353" s="300">
        <v>1.2</v>
      </c>
      <c r="H353" s="346">
        <v>0.125</v>
      </c>
      <c r="I353" s="298">
        <f t="shared" si="16"/>
        <v>2.1</v>
      </c>
      <c r="J353" s="303"/>
    </row>
    <row r="354" spans="1:15" s="118" customFormat="1" ht="23.25">
      <c r="A354" s="303"/>
      <c r="B354" s="439" t="s">
        <v>428</v>
      </c>
      <c r="C354" s="346">
        <v>10</v>
      </c>
      <c r="D354" s="346">
        <v>1</v>
      </c>
      <c r="E354" s="346">
        <v>1</v>
      </c>
      <c r="F354" s="440">
        <v>3.35</v>
      </c>
      <c r="G354" s="300">
        <v>3.5</v>
      </c>
      <c r="H354" s="346">
        <v>0.125</v>
      </c>
      <c r="I354" s="298">
        <f t="shared" si="16"/>
        <v>14.66</v>
      </c>
      <c r="J354" s="303"/>
    </row>
    <row r="355" spans="1:15" s="81" customFormat="1" ht="23.25" customHeight="1">
      <c r="A355" s="294"/>
      <c r="B355" s="293" t="s">
        <v>143</v>
      </c>
      <c r="C355" s="307">
        <v>1</v>
      </c>
      <c r="D355" s="307">
        <v>1</v>
      </c>
      <c r="E355" s="307">
        <v>2</v>
      </c>
      <c r="F355" s="308">
        <v>2.85</v>
      </c>
      <c r="G355" s="317">
        <v>1.26</v>
      </c>
      <c r="H355" s="346">
        <v>0.125</v>
      </c>
      <c r="I355" s="323">
        <f t="shared" si="16"/>
        <v>0.9</v>
      </c>
      <c r="J355" s="294"/>
      <c r="K355" s="54"/>
      <c r="L355" s="54"/>
      <c r="M355" s="54"/>
    </row>
    <row r="356" spans="1:15" s="81" customFormat="1" ht="23.25" customHeight="1">
      <c r="A356" s="294"/>
      <c r="B356" s="293"/>
      <c r="C356" s="307">
        <v>1</v>
      </c>
      <c r="D356" s="307">
        <v>1</v>
      </c>
      <c r="E356" s="307">
        <v>2</v>
      </c>
      <c r="F356" s="308">
        <v>2.0299999999999998</v>
      </c>
      <c r="G356" s="317">
        <v>1.8</v>
      </c>
      <c r="H356" s="346">
        <v>0.125</v>
      </c>
      <c r="I356" s="323">
        <f t="shared" si="16"/>
        <v>0.91</v>
      </c>
      <c r="J356" s="294"/>
      <c r="K356" s="54"/>
      <c r="L356" s="54"/>
      <c r="M356" s="54"/>
    </row>
    <row r="357" spans="1:15" s="81" customFormat="1" ht="23.25" customHeight="1">
      <c r="A357" s="294"/>
      <c r="B357" s="293" t="s">
        <v>143</v>
      </c>
      <c r="C357" s="307">
        <v>1</v>
      </c>
      <c r="D357" s="307">
        <v>1</v>
      </c>
      <c r="E357" s="307">
        <v>1</v>
      </c>
      <c r="F357" s="308">
        <v>1.76</v>
      </c>
      <c r="G357" s="317">
        <v>3.53</v>
      </c>
      <c r="H357" s="346">
        <v>0.125</v>
      </c>
      <c r="I357" s="323">
        <f t="shared" si="16"/>
        <v>0.78</v>
      </c>
      <c r="J357" s="294"/>
      <c r="K357" s="54"/>
      <c r="L357" s="54"/>
      <c r="M357" s="54"/>
      <c r="N357" s="81">
        <f>1.875+1.45</f>
        <v>3.3250000000000002</v>
      </c>
      <c r="O357" s="81">
        <f>N357/2</f>
        <v>1.6625000000000001</v>
      </c>
    </row>
    <row r="358" spans="1:15" s="81" customFormat="1" ht="23.25" customHeight="1">
      <c r="A358" s="294"/>
      <c r="B358" s="293" t="s">
        <v>143</v>
      </c>
      <c r="C358" s="307">
        <v>1</v>
      </c>
      <c r="D358" s="307">
        <v>1</v>
      </c>
      <c r="E358" s="307">
        <v>2</v>
      </c>
      <c r="F358" s="308">
        <v>1.8</v>
      </c>
      <c r="G358" s="317">
        <v>0.93500000000000005</v>
      </c>
      <c r="H358" s="346">
        <v>0.125</v>
      </c>
      <c r="I358" s="323">
        <f t="shared" si="16"/>
        <v>0.42</v>
      </c>
      <c r="J358" s="294"/>
      <c r="K358" s="54"/>
      <c r="L358" s="54"/>
      <c r="M358" s="54"/>
      <c r="N358" s="81">
        <f>1.917+1.364</f>
        <v>3.2810000000000001</v>
      </c>
      <c r="O358" s="81">
        <f>N358/2</f>
        <v>1.6405000000000001</v>
      </c>
    </row>
    <row r="359" spans="1:15" s="81" customFormat="1" ht="23.25" customHeight="1">
      <c r="A359" s="294"/>
      <c r="B359" s="293" t="s">
        <v>142</v>
      </c>
      <c r="C359" s="307">
        <v>1</v>
      </c>
      <c r="D359" s="307">
        <v>1</v>
      </c>
      <c r="E359" s="307">
        <v>1</v>
      </c>
      <c r="F359" s="308">
        <v>2.97</v>
      </c>
      <c r="G359" s="317">
        <v>2.2999999999999998</v>
      </c>
      <c r="H359" s="346">
        <v>0.125</v>
      </c>
      <c r="I359" s="323">
        <f t="shared" si="16"/>
        <v>0.85</v>
      </c>
      <c r="J359" s="294"/>
      <c r="K359" s="54"/>
      <c r="L359" s="54"/>
      <c r="M359" s="54"/>
      <c r="N359" s="81">
        <f>1.724+2.32</f>
        <v>4.0439999999999996</v>
      </c>
      <c r="O359" s="81">
        <f>N359/2</f>
        <v>2.0219999999999998</v>
      </c>
    </row>
    <row r="360" spans="1:15" s="81" customFormat="1" ht="23.25" customHeight="1">
      <c r="A360" s="294"/>
      <c r="B360" s="319" t="s">
        <v>519</v>
      </c>
      <c r="C360" s="307"/>
      <c r="D360" s="294"/>
      <c r="E360" s="294"/>
      <c r="F360" s="294"/>
      <c r="G360" s="300"/>
      <c r="H360" s="300"/>
      <c r="I360" s="309"/>
      <c r="J360" s="294"/>
      <c r="K360" s="54"/>
      <c r="L360" s="54"/>
      <c r="M360" s="54"/>
    </row>
    <row r="361" spans="1:15" s="81" customFormat="1" ht="23.25" customHeight="1">
      <c r="A361" s="307"/>
      <c r="B361" s="293" t="s">
        <v>144</v>
      </c>
      <c r="C361" s="307">
        <v>1</v>
      </c>
      <c r="D361" s="307">
        <v>1</v>
      </c>
      <c r="E361" s="307">
        <v>1</v>
      </c>
      <c r="F361" s="317">
        <v>26.704999999999998</v>
      </c>
      <c r="G361" s="317">
        <v>1.8</v>
      </c>
      <c r="H361" s="317">
        <v>0.125</v>
      </c>
      <c r="I361" s="323">
        <f t="shared" ref="I361:I371" si="17">PRODUCT(C361:H361)</f>
        <v>6.01</v>
      </c>
      <c r="J361" s="294"/>
      <c r="K361" s="54"/>
      <c r="L361" s="54"/>
      <c r="M361" s="54"/>
    </row>
    <row r="362" spans="1:15" s="81" customFormat="1" ht="23.25" customHeight="1">
      <c r="A362" s="294"/>
      <c r="B362" s="293" t="s">
        <v>941</v>
      </c>
      <c r="C362" s="307">
        <v>1</v>
      </c>
      <c r="D362" s="307">
        <v>1</v>
      </c>
      <c r="E362" s="307">
        <v>1</v>
      </c>
      <c r="F362" s="317">
        <v>6.0590000000000002</v>
      </c>
      <c r="G362" s="317">
        <v>2.1549999999999998</v>
      </c>
      <c r="H362" s="317">
        <v>0.125</v>
      </c>
      <c r="I362" s="323">
        <f t="shared" si="17"/>
        <v>1.63</v>
      </c>
      <c r="J362" s="294"/>
      <c r="K362" s="54"/>
      <c r="L362" s="54"/>
      <c r="M362" s="54"/>
    </row>
    <row r="363" spans="1:15" s="81" customFormat="1" ht="23.25" customHeight="1">
      <c r="A363" s="294"/>
      <c r="B363" s="293" t="s">
        <v>941</v>
      </c>
      <c r="C363" s="307">
        <v>1</v>
      </c>
      <c r="D363" s="307">
        <v>1</v>
      </c>
      <c r="E363" s="307">
        <v>1</v>
      </c>
      <c r="F363" s="317">
        <v>4.7939999999999996</v>
      </c>
      <c r="G363" s="317">
        <v>2.6</v>
      </c>
      <c r="H363" s="317">
        <v>0.125</v>
      </c>
      <c r="I363" s="323">
        <f>PRODUCT(C363:H363)</f>
        <v>1.56</v>
      </c>
      <c r="J363" s="294"/>
      <c r="K363" s="54"/>
      <c r="L363" s="54"/>
      <c r="M363" s="54"/>
    </row>
    <row r="364" spans="1:15" s="81" customFormat="1" ht="23.25" customHeight="1">
      <c r="A364" s="307"/>
      <c r="B364" s="293" t="s">
        <v>518</v>
      </c>
      <c r="C364" s="307">
        <v>1</v>
      </c>
      <c r="D364" s="307">
        <v>2</v>
      </c>
      <c r="E364" s="307">
        <v>5</v>
      </c>
      <c r="F364" s="317">
        <v>2.0150000000000001</v>
      </c>
      <c r="G364" s="317">
        <v>1.615</v>
      </c>
      <c r="H364" s="317">
        <v>0.125</v>
      </c>
      <c r="I364" s="323">
        <f t="shared" si="17"/>
        <v>4.07</v>
      </c>
      <c r="J364" s="294"/>
      <c r="K364" s="54"/>
      <c r="L364" s="54"/>
      <c r="M364" s="54"/>
    </row>
    <row r="365" spans="1:15" s="81" customFormat="1" ht="23.25" customHeight="1">
      <c r="A365" s="294"/>
      <c r="B365" s="293" t="s">
        <v>517</v>
      </c>
      <c r="C365" s="307">
        <v>1</v>
      </c>
      <c r="D365" s="307">
        <v>2</v>
      </c>
      <c r="E365" s="307">
        <v>1</v>
      </c>
      <c r="F365" s="308">
        <v>0.8</v>
      </c>
      <c r="G365" s="317">
        <v>1.1499999999999999</v>
      </c>
      <c r="H365" s="317">
        <v>0.125</v>
      </c>
      <c r="I365" s="323">
        <f t="shared" si="17"/>
        <v>0.23</v>
      </c>
      <c r="J365" s="294"/>
      <c r="K365" s="54"/>
      <c r="L365" s="54"/>
      <c r="M365" s="54"/>
    </row>
    <row r="366" spans="1:15" s="81" customFormat="1" ht="23.25" customHeight="1">
      <c r="A366" s="307"/>
      <c r="B366" s="293" t="s">
        <v>516</v>
      </c>
      <c r="C366" s="307">
        <v>1</v>
      </c>
      <c r="D366" s="307">
        <v>2</v>
      </c>
      <c r="E366" s="307">
        <v>1</v>
      </c>
      <c r="F366" s="317">
        <v>1.6850000000000001</v>
      </c>
      <c r="G366" s="317">
        <v>1.1499999999999999</v>
      </c>
      <c r="H366" s="317">
        <v>0.125</v>
      </c>
      <c r="I366" s="323">
        <f t="shared" si="17"/>
        <v>0.48</v>
      </c>
      <c r="J366" s="294"/>
      <c r="K366" s="54"/>
      <c r="L366" s="54"/>
      <c r="M366" s="54"/>
    </row>
    <row r="367" spans="1:15" s="81" customFormat="1" ht="23.25" customHeight="1">
      <c r="A367" s="294"/>
      <c r="B367" s="293" t="s">
        <v>515</v>
      </c>
      <c r="C367" s="307">
        <v>1</v>
      </c>
      <c r="D367" s="307">
        <v>2</v>
      </c>
      <c r="E367" s="307">
        <v>1</v>
      </c>
      <c r="F367" s="308">
        <v>2.83</v>
      </c>
      <c r="G367" s="317">
        <v>0.86499999999999999</v>
      </c>
      <c r="H367" s="317">
        <v>0.125</v>
      </c>
      <c r="I367" s="323">
        <f t="shared" si="17"/>
        <v>0.61</v>
      </c>
      <c r="J367" s="294"/>
      <c r="K367" s="54"/>
      <c r="L367" s="54"/>
      <c r="M367" s="54"/>
    </row>
    <row r="368" spans="1:15" s="81" customFormat="1" ht="23.25" customHeight="1">
      <c r="A368" s="294"/>
      <c r="B368" s="293" t="s">
        <v>305</v>
      </c>
      <c r="C368" s="307">
        <v>1</v>
      </c>
      <c r="D368" s="307">
        <v>1</v>
      </c>
      <c r="E368" s="307">
        <v>1</v>
      </c>
      <c r="F368" s="308">
        <v>0.86</v>
      </c>
      <c r="G368" s="317">
        <v>0.93500000000000005</v>
      </c>
      <c r="H368" s="317">
        <v>0.125</v>
      </c>
      <c r="I368" s="323">
        <f t="shared" si="17"/>
        <v>0.1</v>
      </c>
      <c r="J368" s="294"/>
      <c r="K368" s="54"/>
      <c r="L368" s="54"/>
      <c r="M368" s="54"/>
    </row>
    <row r="369" spans="1:30" s="81" customFormat="1" ht="23.25" customHeight="1">
      <c r="A369" s="294"/>
      <c r="B369" s="293" t="s">
        <v>305</v>
      </c>
      <c r="C369" s="307">
        <v>1</v>
      </c>
      <c r="D369" s="307">
        <v>1</v>
      </c>
      <c r="E369" s="307">
        <v>1</v>
      </c>
      <c r="F369" s="308">
        <v>0.79</v>
      </c>
      <c r="G369" s="317">
        <v>0.93500000000000005</v>
      </c>
      <c r="H369" s="317">
        <v>0.125</v>
      </c>
      <c r="I369" s="323">
        <f t="shared" si="17"/>
        <v>0.09</v>
      </c>
      <c r="J369" s="294"/>
      <c r="K369" s="54"/>
      <c r="L369" s="54"/>
      <c r="M369" s="54"/>
      <c r="N369" s="81">
        <f>1.02+0.695</f>
        <v>1.7150000000000001</v>
      </c>
      <c r="O369" s="81">
        <f>N369/2</f>
        <v>0.85750000000000004</v>
      </c>
    </row>
    <row r="370" spans="1:30" s="81" customFormat="1" ht="23.25" customHeight="1">
      <c r="A370" s="294"/>
      <c r="B370" s="293" t="s">
        <v>304</v>
      </c>
      <c r="C370" s="307">
        <v>1</v>
      </c>
      <c r="D370" s="307">
        <v>1</v>
      </c>
      <c r="E370" s="307">
        <v>1</v>
      </c>
      <c r="F370" s="308">
        <v>0.82</v>
      </c>
      <c r="G370" s="317">
        <v>0.93500000000000005</v>
      </c>
      <c r="H370" s="317">
        <v>0.125</v>
      </c>
      <c r="I370" s="323">
        <f t="shared" si="17"/>
        <v>0.1</v>
      </c>
      <c r="J370" s="294"/>
      <c r="K370" s="54"/>
      <c r="L370" s="54"/>
      <c r="M370" s="54"/>
      <c r="N370" s="81">
        <f>0.981+0.6</f>
        <v>1.581</v>
      </c>
      <c r="O370" s="81">
        <f>N370/2</f>
        <v>0.79049999999999998</v>
      </c>
    </row>
    <row r="371" spans="1:30" s="81" customFormat="1" ht="23.25" customHeight="1">
      <c r="A371" s="294"/>
      <c r="B371" s="293" t="s">
        <v>304</v>
      </c>
      <c r="C371" s="307">
        <v>1</v>
      </c>
      <c r="D371" s="307">
        <v>1</v>
      </c>
      <c r="E371" s="307">
        <v>1</v>
      </c>
      <c r="F371" s="317">
        <v>0.84499999999999997</v>
      </c>
      <c r="G371" s="317">
        <v>0.93500000000000005</v>
      </c>
      <c r="H371" s="317">
        <v>0.125</v>
      </c>
      <c r="I371" s="323">
        <f t="shared" si="17"/>
        <v>0.1</v>
      </c>
      <c r="J371" s="294"/>
      <c r="K371" s="54"/>
      <c r="L371" s="54"/>
      <c r="M371" s="54"/>
      <c r="N371" s="81">
        <f>0.954+0.695</f>
        <v>1.649</v>
      </c>
      <c r="O371" s="81">
        <f>N371/2</f>
        <v>0.82450000000000001</v>
      </c>
    </row>
    <row r="372" spans="1:30" s="115" customFormat="1" ht="18.75" customHeight="1">
      <c r="A372" s="307"/>
      <c r="B372" s="296" t="s">
        <v>812</v>
      </c>
      <c r="C372" s="307"/>
      <c r="D372" s="307"/>
      <c r="E372" s="307"/>
      <c r="F372" s="442"/>
      <c r="G372" s="307"/>
      <c r="H372" s="307"/>
      <c r="I372" s="323"/>
      <c r="J372" s="307"/>
      <c r="K372" s="117"/>
      <c r="L372" s="117"/>
      <c r="M372" s="117"/>
      <c r="N372" s="116"/>
      <c r="O372" s="116"/>
      <c r="P372" s="116"/>
      <c r="Q372" s="116"/>
      <c r="R372" s="116"/>
      <c r="S372" s="116"/>
      <c r="T372" s="116"/>
      <c r="U372" s="116"/>
      <c r="V372" s="116"/>
      <c r="W372" s="116"/>
      <c r="X372" s="116"/>
      <c r="Y372" s="116"/>
      <c r="Z372" s="116"/>
      <c r="AA372" s="116"/>
      <c r="AB372" s="116"/>
      <c r="AC372" s="116"/>
      <c r="AD372" s="116"/>
    </row>
    <row r="373" spans="1:30" s="115" customFormat="1" ht="18.75" customHeight="1">
      <c r="A373" s="307"/>
      <c r="B373" s="293" t="s">
        <v>514</v>
      </c>
      <c r="C373" s="307">
        <v>1</v>
      </c>
      <c r="D373" s="307">
        <v>2</v>
      </c>
      <c r="E373" s="307">
        <v>5</v>
      </c>
      <c r="F373" s="335">
        <v>3.1</v>
      </c>
      <c r="G373" s="308">
        <v>1</v>
      </c>
      <c r="H373" s="307">
        <v>0.125</v>
      </c>
      <c r="I373" s="323">
        <f>PRODUCT(C373:H373)</f>
        <v>3.88</v>
      </c>
      <c r="J373" s="307"/>
      <c r="K373" s="117"/>
      <c r="L373" s="117"/>
      <c r="M373" s="117"/>
      <c r="N373" s="116"/>
      <c r="O373" s="116"/>
      <c r="P373" s="116"/>
      <c r="Q373" s="116"/>
      <c r="R373" s="116"/>
      <c r="S373" s="116"/>
      <c r="T373" s="116"/>
      <c r="U373" s="116"/>
      <c r="V373" s="116"/>
      <c r="W373" s="116"/>
      <c r="X373" s="116"/>
      <c r="Y373" s="116"/>
      <c r="Z373" s="116"/>
      <c r="AA373" s="116"/>
      <c r="AB373" s="116"/>
      <c r="AC373" s="116"/>
      <c r="AD373" s="116"/>
    </row>
    <row r="374" spans="1:30" s="115" customFormat="1" ht="24.75" customHeight="1">
      <c r="A374" s="307"/>
      <c r="B374" s="443" t="s">
        <v>530</v>
      </c>
      <c r="C374" s="443"/>
      <c r="D374" s="443"/>
      <c r="E374" s="307"/>
      <c r="F374" s="419"/>
      <c r="G374" s="444"/>
      <c r="H374" s="444"/>
      <c r="I374" s="323"/>
      <c r="J374" s="307"/>
      <c r="K374" s="117"/>
      <c r="L374" s="117"/>
      <c r="M374" s="117"/>
      <c r="N374" s="116"/>
      <c r="O374" s="116"/>
      <c r="P374" s="116"/>
      <c r="Q374" s="116"/>
      <c r="R374" s="116"/>
      <c r="S374" s="116"/>
      <c r="T374" s="116"/>
      <c r="U374" s="116"/>
      <c r="V374" s="116"/>
      <c r="W374" s="116"/>
      <c r="X374" s="116"/>
      <c r="Y374" s="116"/>
      <c r="Z374" s="116"/>
      <c r="AA374" s="116"/>
      <c r="AB374" s="116"/>
      <c r="AC374" s="116"/>
      <c r="AD374" s="116"/>
    </row>
    <row r="375" spans="1:30" s="115" customFormat="1" ht="24.75" customHeight="1">
      <c r="A375" s="307"/>
      <c r="B375" s="445" t="s">
        <v>93</v>
      </c>
      <c r="C375" s="307">
        <v>1</v>
      </c>
      <c r="D375" s="307">
        <v>1</v>
      </c>
      <c r="E375" s="307">
        <v>5</v>
      </c>
      <c r="F375" s="446">
        <v>8.8949999999999996</v>
      </c>
      <c r="G375" s="308">
        <v>0.23</v>
      </c>
      <c r="H375" s="308">
        <v>0.4</v>
      </c>
      <c r="I375" s="323">
        <f t="shared" ref="I375:I382" si="18">PRODUCT(C375:H375)</f>
        <v>4.09</v>
      </c>
      <c r="J375" s="307"/>
      <c r="K375" s="117"/>
      <c r="L375" s="117"/>
      <c r="M375" s="117"/>
      <c r="N375" s="116"/>
      <c r="O375" s="116"/>
      <c r="P375" s="116"/>
      <c r="Q375" s="116"/>
      <c r="R375" s="116"/>
      <c r="S375" s="116"/>
      <c r="T375" s="116"/>
      <c r="U375" s="116"/>
      <c r="V375" s="116"/>
      <c r="W375" s="116"/>
      <c r="X375" s="116"/>
      <c r="Y375" s="116"/>
      <c r="Z375" s="116"/>
      <c r="AA375" s="116"/>
      <c r="AB375" s="116"/>
      <c r="AC375" s="116"/>
      <c r="AD375" s="116"/>
    </row>
    <row r="376" spans="1:30" s="115" customFormat="1" ht="24.75" customHeight="1">
      <c r="A376" s="307"/>
      <c r="B376" s="445" t="s">
        <v>93</v>
      </c>
      <c r="C376" s="307">
        <v>5</v>
      </c>
      <c r="D376" s="307">
        <v>1</v>
      </c>
      <c r="E376" s="307">
        <v>2</v>
      </c>
      <c r="F376" s="446">
        <v>3.6</v>
      </c>
      <c r="G376" s="308">
        <v>0.23</v>
      </c>
      <c r="H376" s="308">
        <v>0.4</v>
      </c>
      <c r="I376" s="323">
        <f t="shared" si="18"/>
        <v>3.31</v>
      </c>
      <c r="J376" s="307"/>
      <c r="K376" s="117"/>
      <c r="L376" s="117"/>
      <c r="M376" s="117"/>
      <c r="N376" s="116"/>
      <c r="O376" s="116"/>
      <c r="P376" s="116"/>
      <c r="Q376" s="116"/>
      <c r="R376" s="116"/>
      <c r="S376" s="116"/>
      <c r="T376" s="116"/>
      <c r="U376" s="116"/>
      <c r="V376" s="116"/>
      <c r="W376" s="116"/>
      <c r="X376" s="116"/>
      <c r="Y376" s="116"/>
      <c r="Z376" s="116"/>
      <c r="AA376" s="116"/>
      <c r="AB376" s="116"/>
      <c r="AC376" s="116"/>
      <c r="AD376" s="116"/>
    </row>
    <row r="377" spans="1:30" s="366" customFormat="1" ht="24.75" customHeight="1">
      <c r="A377" s="307"/>
      <c r="B377" s="445" t="s">
        <v>93</v>
      </c>
      <c r="C377" s="307">
        <v>5</v>
      </c>
      <c r="D377" s="307">
        <v>1</v>
      </c>
      <c r="E377" s="307">
        <v>4</v>
      </c>
      <c r="F377" s="446">
        <v>4</v>
      </c>
      <c r="G377" s="308">
        <v>0.23</v>
      </c>
      <c r="H377" s="308">
        <v>0.4</v>
      </c>
      <c r="I377" s="323">
        <f t="shared" si="18"/>
        <v>7.36</v>
      </c>
      <c r="J377" s="307"/>
      <c r="K377" s="364"/>
      <c r="L377" s="364"/>
      <c r="M377" s="364"/>
      <c r="N377" s="365"/>
      <c r="O377" s="365"/>
      <c r="P377" s="365"/>
      <c r="Q377" s="365"/>
      <c r="R377" s="365"/>
      <c r="S377" s="365"/>
      <c r="T377" s="365"/>
      <c r="U377" s="365"/>
      <c r="V377" s="365"/>
      <c r="W377" s="365"/>
      <c r="X377" s="365"/>
      <c r="Y377" s="365"/>
      <c r="Z377" s="365"/>
      <c r="AA377" s="365"/>
      <c r="AB377" s="365"/>
      <c r="AC377" s="365"/>
      <c r="AD377" s="365"/>
    </row>
    <row r="378" spans="1:30" s="115" customFormat="1" ht="24.75" customHeight="1">
      <c r="A378" s="307"/>
      <c r="B378" s="445" t="s">
        <v>93</v>
      </c>
      <c r="C378" s="307">
        <v>5</v>
      </c>
      <c r="D378" s="307">
        <v>1</v>
      </c>
      <c r="E378" s="307">
        <v>4</v>
      </c>
      <c r="F378" s="446">
        <v>5.0650000000000004</v>
      </c>
      <c r="G378" s="308">
        <v>0.23</v>
      </c>
      <c r="H378" s="308">
        <v>0.6</v>
      </c>
      <c r="I378" s="323">
        <f t="shared" si="18"/>
        <v>13.98</v>
      </c>
      <c r="J378" s="307"/>
      <c r="K378" s="117"/>
      <c r="L378" s="117"/>
      <c r="M378" s="117"/>
      <c r="N378" s="116"/>
      <c r="O378" s="116"/>
      <c r="P378" s="116"/>
      <c r="Q378" s="116"/>
      <c r="R378" s="116"/>
      <c r="S378" s="116"/>
      <c r="T378" s="116"/>
      <c r="U378" s="116"/>
      <c r="V378" s="116"/>
      <c r="W378" s="116"/>
      <c r="X378" s="116"/>
      <c r="Y378" s="116"/>
      <c r="Z378" s="116"/>
      <c r="AA378" s="116"/>
      <c r="AB378" s="116"/>
      <c r="AC378" s="116"/>
      <c r="AD378" s="116"/>
    </row>
    <row r="379" spans="1:30" s="115" customFormat="1" ht="24.75" customHeight="1">
      <c r="A379" s="307"/>
      <c r="B379" s="445" t="s">
        <v>853</v>
      </c>
      <c r="C379" s="307">
        <v>5</v>
      </c>
      <c r="D379" s="307">
        <v>1</v>
      </c>
      <c r="E379" s="307">
        <v>1</v>
      </c>
      <c r="F379" s="446">
        <v>14.39</v>
      </c>
      <c r="G379" s="308">
        <v>0.23</v>
      </c>
      <c r="H379" s="308">
        <v>0.4</v>
      </c>
      <c r="I379" s="323">
        <f t="shared" si="18"/>
        <v>6.62</v>
      </c>
      <c r="J379" s="307"/>
      <c r="K379" s="117"/>
      <c r="L379" s="117"/>
      <c r="M379" s="117"/>
      <c r="N379" s="116"/>
      <c r="O379" s="116"/>
      <c r="P379" s="116"/>
      <c r="Q379" s="116"/>
      <c r="R379" s="116"/>
      <c r="S379" s="116"/>
      <c r="T379" s="116"/>
      <c r="U379" s="116"/>
      <c r="V379" s="116"/>
      <c r="W379" s="116"/>
      <c r="X379" s="116"/>
      <c r="Y379" s="116"/>
      <c r="Z379" s="116"/>
      <c r="AA379" s="116"/>
      <c r="AB379" s="116"/>
      <c r="AC379" s="116"/>
      <c r="AD379" s="116"/>
    </row>
    <row r="380" spans="1:30" s="115" customFormat="1" ht="24.75" customHeight="1">
      <c r="A380" s="307"/>
      <c r="B380" s="445" t="s">
        <v>942</v>
      </c>
      <c r="C380" s="307">
        <v>5</v>
      </c>
      <c r="D380" s="307">
        <v>1</v>
      </c>
      <c r="E380" s="307">
        <v>2</v>
      </c>
      <c r="F380" s="446">
        <v>3.5</v>
      </c>
      <c r="G380" s="308">
        <v>0.23</v>
      </c>
      <c r="H380" s="308">
        <v>0.05</v>
      </c>
      <c r="I380" s="323">
        <f t="shared" si="18"/>
        <v>0.4</v>
      </c>
      <c r="J380" s="307"/>
      <c r="K380" s="117"/>
      <c r="L380" s="117"/>
      <c r="M380" s="117"/>
      <c r="N380" s="116"/>
      <c r="O380" s="116"/>
      <c r="P380" s="116"/>
      <c r="Q380" s="116"/>
      <c r="R380" s="116"/>
      <c r="S380" s="116"/>
      <c r="T380" s="116"/>
      <c r="U380" s="116"/>
      <c r="V380" s="116"/>
      <c r="W380" s="116"/>
      <c r="X380" s="116"/>
      <c r="Y380" s="116"/>
      <c r="Z380" s="116"/>
      <c r="AA380" s="116"/>
      <c r="AB380" s="116"/>
      <c r="AC380" s="116"/>
      <c r="AD380" s="116"/>
    </row>
    <row r="381" spans="1:30" s="115" customFormat="1" ht="24.75" customHeight="1">
      <c r="A381" s="307"/>
      <c r="B381" s="445" t="s">
        <v>853</v>
      </c>
      <c r="C381" s="307">
        <v>5</v>
      </c>
      <c r="D381" s="307">
        <v>2</v>
      </c>
      <c r="E381" s="307">
        <v>3</v>
      </c>
      <c r="F381" s="446">
        <v>3.3849999999999998</v>
      </c>
      <c r="G381" s="308">
        <v>0.23</v>
      </c>
      <c r="H381" s="308">
        <v>0.6</v>
      </c>
      <c r="I381" s="323">
        <f t="shared" si="18"/>
        <v>14.01</v>
      </c>
      <c r="J381" s="307"/>
      <c r="K381" s="117"/>
      <c r="L381" s="117"/>
      <c r="M381" s="117"/>
      <c r="N381" s="116"/>
      <c r="O381" s="116"/>
      <c r="P381" s="116"/>
      <c r="Q381" s="116"/>
      <c r="R381" s="116"/>
      <c r="S381" s="116"/>
      <c r="T381" s="116"/>
      <c r="U381" s="116"/>
      <c r="V381" s="116"/>
      <c r="W381" s="116"/>
      <c r="X381" s="116"/>
      <c r="Y381" s="116"/>
      <c r="Z381" s="116"/>
      <c r="AA381" s="116"/>
      <c r="AB381" s="116"/>
      <c r="AC381" s="116"/>
      <c r="AD381" s="116"/>
    </row>
    <row r="382" spans="1:30" s="115" customFormat="1" ht="24.75" customHeight="1">
      <c r="A382" s="307"/>
      <c r="B382" s="445" t="s">
        <v>853</v>
      </c>
      <c r="C382" s="307">
        <v>5</v>
      </c>
      <c r="D382" s="307">
        <v>1</v>
      </c>
      <c r="E382" s="307">
        <v>2</v>
      </c>
      <c r="F382" s="446">
        <v>3.35</v>
      </c>
      <c r="G382" s="308">
        <v>0.23</v>
      </c>
      <c r="H382" s="308">
        <v>0.4</v>
      </c>
      <c r="I382" s="323">
        <f t="shared" si="18"/>
        <v>3.08</v>
      </c>
      <c r="J382" s="307"/>
      <c r="K382" s="117"/>
      <c r="L382" s="117"/>
      <c r="M382" s="117"/>
      <c r="N382" s="116"/>
      <c r="O382" s="116"/>
      <c r="P382" s="116"/>
      <c r="Q382" s="116"/>
      <c r="R382" s="116"/>
      <c r="S382" s="116"/>
      <c r="T382" s="116"/>
      <c r="U382" s="116"/>
      <c r="V382" s="116"/>
      <c r="W382" s="116"/>
      <c r="X382" s="116"/>
      <c r="Y382" s="116"/>
      <c r="Z382" s="116"/>
      <c r="AA382" s="116"/>
      <c r="AB382" s="116"/>
      <c r="AC382" s="116"/>
      <c r="AD382" s="116"/>
    </row>
    <row r="383" spans="1:30" s="115" customFormat="1" ht="24.75" customHeight="1">
      <c r="A383" s="307"/>
      <c r="B383" s="447" t="s">
        <v>943</v>
      </c>
      <c r="C383" s="307"/>
      <c r="D383" s="307"/>
      <c r="E383" s="307"/>
      <c r="F383" s="446"/>
      <c r="G383" s="308"/>
      <c r="H383" s="308"/>
      <c r="I383" s="323"/>
      <c r="J383" s="307"/>
      <c r="K383" s="117"/>
      <c r="L383" s="117"/>
      <c r="M383" s="117"/>
      <c r="N383" s="116"/>
      <c r="O383" s="116"/>
      <c r="P383" s="116"/>
      <c r="Q383" s="116"/>
      <c r="R383" s="116"/>
      <c r="S383" s="116"/>
      <c r="T383" s="116"/>
      <c r="U383" s="116"/>
      <c r="V383" s="116"/>
      <c r="W383" s="116"/>
      <c r="X383" s="116"/>
      <c r="Y383" s="116"/>
      <c r="Z383" s="116"/>
      <c r="AA383" s="116"/>
      <c r="AB383" s="116"/>
      <c r="AC383" s="116"/>
      <c r="AD383" s="116"/>
    </row>
    <row r="384" spans="1:30" s="115" customFormat="1" ht="24.75" customHeight="1">
      <c r="A384" s="307"/>
      <c r="B384" s="445" t="s">
        <v>93</v>
      </c>
      <c r="C384" s="307">
        <v>1</v>
      </c>
      <c r="D384" s="307">
        <v>1</v>
      </c>
      <c r="E384" s="307">
        <v>1</v>
      </c>
      <c r="F384" s="446">
        <v>21.19</v>
      </c>
      <c r="G384" s="308">
        <v>0.23</v>
      </c>
      <c r="H384" s="308">
        <v>0.4</v>
      </c>
      <c r="I384" s="323">
        <f t="shared" ref="I384:I406" si="19">PRODUCT(C384:H384)</f>
        <v>1.95</v>
      </c>
      <c r="J384" s="307"/>
      <c r="K384" s="117"/>
      <c r="L384" s="117"/>
      <c r="M384" s="117"/>
      <c r="N384" s="116"/>
      <c r="O384" s="116"/>
      <c r="P384" s="116"/>
      <c r="Q384" s="116"/>
      <c r="R384" s="116"/>
      <c r="S384" s="116"/>
      <c r="T384" s="116"/>
      <c r="U384" s="116"/>
      <c r="V384" s="116"/>
      <c r="W384" s="116"/>
      <c r="X384" s="116"/>
      <c r="Y384" s="116"/>
      <c r="Z384" s="116"/>
      <c r="AA384" s="116"/>
      <c r="AB384" s="116"/>
      <c r="AC384" s="116"/>
      <c r="AD384" s="116"/>
    </row>
    <row r="385" spans="1:30" s="115" customFormat="1" ht="24.75" customHeight="1">
      <c r="A385" s="307"/>
      <c r="B385" s="445" t="s">
        <v>942</v>
      </c>
      <c r="C385" s="307">
        <v>1</v>
      </c>
      <c r="D385" s="307">
        <v>1</v>
      </c>
      <c r="E385" s="307">
        <v>2</v>
      </c>
      <c r="F385" s="446">
        <v>7.2249999999999996</v>
      </c>
      <c r="G385" s="308">
        <v>0.23</v>
      </c>
      <c r="H385" s="308">
        <v>0.05</v>
      </c>
      <c r="I385" s="323">
        <f t="shared" si="19"/>
        <v>0.17</v>
      </c>
      <c r="J385" s="307"/>
      <c r="K385" s="117"/>
      <c r="L385" s="117"/>
      <c r="M385" s="117"/>
      <c r="N385" s="116"/>
      <c r="O385" s="116"/>
      <c r="P385" s="116"/>
      <c r="Q385" s="116"/>
      <c r="R385" s="116"/>
      <c r="S385" s="116"/>
      <c r="T385" s="116"/>
      <c r="U385" s="116"/>
      <c r="V385" s="116"/>
      <c r="W385" s="116"/>
      <c r="X385" s="116"/>
      <c r="Y385" s="116"/>
      <c r="Z385" s="116"/>
      <c r="AA385" s="116"/>
      <c r="AB385" s="116"/>
      <c r="AC385" s="116"/>
      <c r="AD385" s="116"/>
    </row>
    <row r="386" spans="1:30" s="115" customFormat="1" ht="24.75" customHeight="1">
      <c r="A386" s="307"/>
      <c r="B386" s="445" t="s">
        <v>93</v>
      </c>
      <c r="C386" s="307">
        <v>1</v>
      </c>
      <c r="D386" s="307">
        <v>1</v>
      </c>
      <c r="E386" s="307">
        <v>2</v>
      </c>
      <c r="F386" s="446">
        <v>7.8949999999999996</v>
      </c>
      <c r="G386" s="308">
        <v>0.23</v>
      </c>
      <c r="H386" s="308">
        <v>0.45</v>
      </c>
      <c r="I386" s="323">
        <f t="shared" si="19"/>
        <v>1.63</v>
      </c>
      <c r="J386" s="307"/>
      <c r="K386" s="117"/>
      <c r="L386" s="117"/>
      <c r="M386" s="117"/>
      <c r="N386" s="116"/>
      <c r="O386" s="116"/>
      <c r="P386" s="116"/>
      <c r="Q386" s="116"/>
      <c r="R386" s="116"/>
      <c r="S386" s="116"/>
      <c r="T386" s="116"/>
      <c r="U386" s="116"/>
      <c r="V386" s="116"/>
      <c r="W386" s="116"/>
      <c r="X386" s="116"/>
      <c r="Y386" s="116"/>
      <c r="Z386" s="116"/>
      <c r="AA386" s="116"/>
      <c r="AB386" s="116"/>
      <c r="AC386" s="116"/>
      <c r="AD386" s="116"/>
    </row>
    <row r="387" spans="1:30" s="115" customFormat="1" ht="24.75" customHeight="1">
      <c r="A387" s="307"/>
      <c r="B387" s="445" t="s">
        <v>93</v>
      </c>
      <c r="C387" s="307">
        <v>1</v>
      </c>
      <c r="D387" s="307">
        <v>1</v>
      </c>
      <c r="E387" s="307">
        <v>1</v>
      </c>
      <c r="F387" s="446">
        <v>7.6230000000000002</v>
      </c>
      <c r="G387" s="308">
        <v>0.23</v>
      </c>
      <c r="H387" s="308">
        <v>0.6</v>
      </c>
      <c r="I387" s="323">
        <f t="shared" si="19"/>
        <v>1.05</v>
      </c>
      <c r="J387" s="307"/>
      <c r="K387" s="117"/>
      <c r="L387" s="117"/>
      <c r="M387" s="117"/>
      <c r="N387" s="116"/>
      <c r="O387" s="116"/>
      <c r="P387" s="116"/>
      <c r="Q387" s="116"/>
      <c r="R387" s="116"/>
      <c r="S387" s="116"/>
      <c r="T387" s="116"/>
      <c r="U387" s="116"/>
      <c r="V387" s="116"/>
      <c r="W387" s="116"/>
      <c r="X387" s="116"/>
      <c r="Y387" s="116"/>
      <c r="Z387" s="116"/>
      <c r="AA387" s="116"/>
      <c r="AB387" s="116"/>
      <c r="AC387" s="116"/>
      <c r="AD387" s="116"/>
    </row>
    <row r="388" spans="1:30" s="366" customFormat="1" ht="24.75" customHeight="1">
      <c r="A388" s="307"/>
      <c r="B388" s="445" t="s">
        <v>93</v>
      </c>
      <c r="C388" s="307">
        <v>1</v>
      </c>
      <c r="D388" s="307">
        <v>1</v>
      </c>
      <c r="E388" s="307">
        <v>1</v>
      </c>
      <c r="F388" s="446">
        <v>7.9290000000000003</v>
      </c>
      <c r="G388" s="308">
        <v>0.23</v>
      </c>
      <c r="H388" s="308">
        <v>0.6</v>
      </c>
      <c r="I388" s="323">
        <f t="shared" si="19"/>
        <v>1.0900000000000001</v>
      </c>
      <c r="J388" s="307"/>
      <c r="K388" s="364"/>
      <c r="L388" s="364"/>
      <c r="M388" s="364"/>
      <c r="N388" s="365"/>
      <c r="O388" s="365"/>
      <c r="P388" s="365"/>
      <c r="Q388" s="365"/>
      <c r="R388" s="365"/>
      <c r="S388" s="365"/>
      <c r="T388" s="365"/>
      <c r="U388" s="365"/>
      <c r="V388" s="365"/>
      <c r="W388" s="365"/>
      <c r="X388" s="365"/>
      <c r="Y388" s="365"/>
      <c r="Z388" s="365"/>
      <c r="AA388" s="365"/>
      <c r="AB388" s="365"/>
      <c r="AC388" s="365"/>
      <c r="AD388" s="365"/>
    </row>
    <row r="389" spans="1:30" s="115" customFormat="1" ht="24.75" customHeight="1">
      <c r="A389" s="307"/>
      <c r="B389" s="445" t="s">
        <v>93</v>
      </c>
      <c r="C389" s="307">
        <v>1</v>
      </c>
      <c r="D389" s="307">
        <v>1</v>
      </c>
      <c r="E389" s="307">
        <v>1</v>
      </c>
      <c r="F389" s="446">
        <v>6.0590000000000002</v>
      </c>
      <c r="G389" s="308">
        <v>0.23</v>
      </c>
      <c r="H389" s="308">
        <v>0.3</v>
      </c>
      <c r="I389" s="323">
        <f t="shared" si="19"/>
        <v>0.42</v>
      </c>
      <c r="J389" s="307"/>
      <c r="K389" s="117"/>
      <c r="L389" s="117"/>
      <c r="M389" s="117"/>
      <c r="N389" s="116"/>
      <c r="O389" s="116"/>
      <c r="P389" s="116"/>
      <c r="Q389" s="116"/>
      <c r="R389" s="116"/>
      <c r="S389" s="116"/>
      <c r="T389" s="116"/>
      <c r="U389" s="116"/>
      <c r="V389" s="116"/>
      <c r="W389" s="116"/>
      <c r="X389" s="116"/>
      <c r="Y389" s="116"/>
      <c r="Z389" s="116"/>
      <c r="AA389" s="116"/>
      <c r="AB389" s="116"/>
      <c r="AC389" s="116"/>
      <c r="AD389" s="116"/>
    </row>
    <row r="390" spans="1:30" s="115" customFormat="1" ht="24.75" customHeight="1">
      <c r="A390" s="307"/>
      <c r="B390" s="445" t="s">
        <v>93</v>
      </c>
      <c r="C390" s="307">
        <v>1</v>
      </c>
      <c r="D390" s="307">
        <v>1</v>
      </c>
      <c r="E390" s="307">
        <v>10</v>
      </c>
      <c r="F390" s="446">
        <v>1.9</v>
      </c>
      <c r="G390" s="308">
        <v>0.23</v>
      </c>
      <c r="H390" s="308">
        <v>0.3</v>
      </c>
      <c r="I390" s="323">
        <f t="shared" si="19"/>
        <v>1.31</v>
      </c>
      <c r="J390" s="307"/>
      <c r="K390" s="117"/>
      <c r="L390" s="117"/>
      <c r="M390" s="117"/>
      <c r="N390" s="116"/>
      <c r="O390" s="116"/>
      <c r="P390" s="116"/>
      <c r="Q390" s="116"/>
      <c r="R390" s="116"/>
      <c r="S390" s="116"/>
      <c r="T390" s="116"/>
      <c r="U390" s="116"/>
      <c r="V390" s="116"/>
      <c r="W390" s="116"/>
      <c r="X390" s="116"/>
      <c r="Y390" s="116"/>
      <c r="Z390" s="116"/>
      <c r="AA390" s="116"/>
      <c r="AB390" s="116"/>
      <c r="AC390" s="116"/>
      <c r="AD390" s="116"/>
    </row>
    <row r="391" spans="1:30" s="115" customFormat="1" ht="24.75" customHeight="1">
      <c r="A391" s="307"/>
      <c r="B391" s="445" t="s">
        <v>93</v>
      </c>
      <c r="C391" s="307">
        <v>1</v>
      </c>
      <c r="D391" s="307">
        <v>1</v>
      </c>
      <c r="E391" s="307">
        <v>1</v>
      </c>
      <c r="F391" s="446">
        <v>3.53</v>
      </c>
      <c r="G391" s="308">
        <v>0.23</v>
      </c>
      <c r="H391" s="308">
        <v>0.45</v>
      </c>
      <c r="I391" s="323">
        <f t="shared" si="19"/>
        <v>0.37</v>
      </c>
      <c r="J391" s="307"/>
      <c r="K391" s="117"/>
      <c r="L391" s="117"/>
      <c r="M391" s="117"/>
      <c r="N391" s="116"/>
      <c r="O391" s="116"/>
      <c r="P391" s="116"/>
      <c r="Q391" s="116"/>
      <c r="R391" s="116"/>
      <c r="S391" s="116"/>
      <c r="T391" s="116"/>
      <c r="U391" s="116"/>
      <c r="V391" s="116"/>
      <c r="W391" s="116"/>
      <c r="X391" s="116"/>
      <c r="Y391" s="116"/>
      <c r="Z391" s="116"/>
      <c r="AA391" s="116"/>
      <c r="AB391" s="116"/>
      <c r="AC391" s="116"/>
      <c r="AD391" s="116"/>
    </row>
    <row r="392" spans="1:30" s="115" customFormat="1" ht="24.75" customHeight="1">
      <c r="A392" s="307"/>
      <c r="B392" s="445" t="s">
        <v>93</v>
      </c>
      <c r="C392" s="307">
        <v>1</v>
      </c>
      <c r="D392" s="307">
        <v>1</v>
      </c>
      <c r="E392" s="307">
        <v>1</v>
      </c>
      <c r="F392" s="446">
        <v>6.52</v>
      </c>
      <c r="G392" s="308">
        <v>0.23</v>
      </c>
      <c r="H392" s="308">
        <v>0.45</v>
      </c>
      <c r="I392" s="323">
        <f t="shared" si="19"/>
        <v>0.67</v>
      </c>
      <c r="J392" s="307"/>
      <c r="K392" s="117"/>
      <c r="L392" s="117"/>
      <c r="M392" s="117"/>
      <c r="N392" s="116"/>
      <c r="O392" s="116"/>
      <c r="P392" s="116"/>
      <c r="Q392" s="116"/>
      <c r="R392" s="116"/>
      <c r="S392" s="116"/>
      <c r="T392" s="116"/>
      <c r="U392" s="116"/>
      <c r="V392" s="116"/>
      <c r="W392" s="116"/>
      <c r="X392" s="116"/>
      <c r="Y392" s="116"/>
      <c r="Z392" s="116"/>
      <c r="AA392" s="116"/>
      <c r="AB392" s="116"/>
      <c r="AC392" s="116"/>
      <c r="AD392" s="116"/>
    </row>
    <row r="393" spans="1:30" s="115" customFormat="1" ht="24.75" customHeight="1">
      <c r="A393" s="307"/>
      <c r="B393" s="445" t="s">
        <v>93</v>
      </c>
      <c r="C393" s="307">
        <v>1</v>
      </c>
      <c r="D393" s="307">
        <v>1</v>
      </c>
      <c r="E393" s="307">
        <v>1</v>
      </c>
      <c r="F393" s="335">
        <v>2.2999999999999998</v>
      </c>
      <c r="G393" s="308">
        <v>0.23</v>
      </c>
      <c r="H393" s="308">
        <v>0.6</v>
      </c>
      <c r="I393" s="323">
        <f t="shared" si="19"/>
        <v>0.32</v>
      </c>
      <c r="J393" s="307"/>
      <c r="K393" s="117"/>
      <c r="L393" s="117"/>
      <c r="M393" s="117"/>
      <c r="N393" s="116"/>
      <c r="O393" s="116"/>
      <c r="P393" s="116"/>
      <c r="Q393" s="116"/>
      <c r="R393" s="116"/>
      <c r="S393" s="116"/>
      <c r="T393" s="116"/>
      <c r="U393" s="116"/>
      <c r="V393" s="116"/>
      <c r="W393" s="116"/>
      <c r="X393" s="116"/>
      <c r="Y393" s="116"/>
      <c r="Z393" s="116"/>
      <c r="AA393" s="116"/>
      <c r="AB393" s="116"/>
      <c r="AC393" s="116"/>
      <c r="AD393" s="116"/>
    </row>
    <row r="394" spans="1:30" s="115" customFormat="1" ht="24.75" customHeight="1">
      <c r="A394" s="307"/>
      <c r="B394" s="445" t="s">
        <v>853</v>
      </c>
      <c r="C394" s="307">
        <v>1</v>
      </c>
      <c r="D394" s="307">
        <v>1</v>
      </c>
      <c r="E394" s="307">
        <v>2</v>
      </c>
      <c r="F394" s="335">
        <v>38.35</v>
      </c>
      <c r="G394" s="308">
        <v>0.23</v>
      </c>
      <c r="H394" s="308">
        <v>0.4</v>
      </c>
      <c r="I394" s="323">
        <f t="shared" si="19"/>
        <v>7.06</v>
      </c>
      <c r="J394" s="307"/>
      <c r="K394" s="117"/>
      <c r="L394" s="117"/>
      <c r="M394" s="117"/>
      <c r="N394" s="116"/>
      <c r="O394" s="116"/>
      <c r="P394" s="116"/>
      <c r="Q394" s="116"/>
      <c r="R394" s="116"/>
      <c r="S394" s="116"/>
      <c r="T394" s="116"/>
      <c r="U394" s="116"/>
      <c r="V394" s="116"/>
      <c r="W394" s="116"/>
      <c r="X394" s="116"/>
      <c r="Y394" s="116"/>
      <c r="Z394" s="116"/>
      <c r="AA394" s="116"/>
      <c r="AB394" s="116"/>
      <c r="AC394" s="116"/>
      <c r="AD394" s="116"/>
    </row>
    <row r="395" spans="1:30" s="115" customFormat="1" ht="24.75" customHeight="1">
      <c r="A395" s="307"/>
      <c r="B395" s="445" t="s">
        <v>853</v>
      </c>
      <c r="C395" s="307">
        <v>4</v>
      </c>
      <c r="D395" s="307">
        <v>1</v>
      </c>
      <c r="E395" s="307">
        <v>2</v>
      </c>
      <c r="F395" s="446">
        <v>3.6150000000000002</v>
      </c>
      <c r="G395" s="308">
        <v>0.23</v>
      </c>
      <c r="H395" s="308">
        <v>0.2</v>
      </c>
      <c r="I395" s="323">
        <f t="shared" si="19"/>
        <v>1.33</v>
      </c>
      <c r="J395" s="307"/>
      <c r="K395" s="117"/>
      <c r="L395" s="117"/>
      <c r="M395" s="117"/>
      <c r="N395" s="116"/>
      <c r="O395" s="116"/>
      <c r="P395" s="116"/>
      <c r="Q395" s="116"/>
      <c r="R395" s="116"/>
      <c r="S395" s="116"/>
      <c r="T395" s="116"/>
      <c r="U395" s="116"/>
      <c r="V395" s="116"/>
      <c r="W395" s="116"/>
      <c r="X395" s="116"/>
      <c r="Y395" s="116"/>
      <c r="Z395" s="116"/>
      <c r="AA395" s="116"/>
      <c r="AB395" s="116"/>
      <c r="AC395" s="116"/>
      <c r="AD395" s="116"/>
    </row>
    <row r="396" spans="1:30" s="115" customFormat="1" ht="24.75" customHeight="1">
      <c r="A396" s="307"/>
      <c r="B396" s="445" t="s">
        <v>853</v>
      </c>
      <c r="C396" s="307">
        <v>2</v>
      </c>
      <c r="D396" s="307">
        <v>1</v>
      </c>
      <c r="E396" s="307">
        <v>1</v>
      </c>
      <c r="F396" s="446">
        <v>26.704999999999998</v>
      </c>
      <c r="G396" s="308">
        <v>0.23</v>
      </c>
      <c r="H396" s="308">
        <v>0.45</v>
      </c>
      <c r="I396" s="323">
        <f t="shared" si="19"/>
        <v>5.53</v>
      </c>
      <c r="J396" s="307"/>
      <c r="K396" s="117"/>
      <c r="L396" s="117"/>
      <c r="M396" s="117"/>
      <c r="N396" s="116"/>
      <c r="O396" s="116"/>
      <c r="P396" s="116"/>
      <c r="Q396" s="116"/>
      <c r="R396" s="116"/>
      <c r="S396" s="116"/>
      <c r="T396" s="116"/>
      <c r="U396" s="116"/>
      <c r="V396" s="116"/>
      <c r="W396" s="116"/>
      <c r="X396" s="116"/>
      <c r="Y396" s="116"/>
      <c r="Z396" s="116"/>
      <c r="AA396" s="116"/>
      <c r="AB396" s="116"/>
      <c r="AC396" s="116"/>
      <c r="AD396" s="116"/>
    </row>
    <row r="397" spans="1:30" s="115" customFormat="1" ht="24.75" customHeight="1">
      <c r="A397" s="307"/>
      <c r="B397" s="445" t="s">
        <v>853</v>
      </c>
      <c r="C397" s="307">
        <v>3</v>
      </c>
      <c r="D397" s="307">
        <v>1</v>
      </c>
      <c r="E397" s="307">
        <v>1</v>
      </c>
      <c r="F397" s="335">
        <v>1.9</v>
      </c>
      <c r="G397" s="308">
        <v>0.23</v>
      </c>
      <c r="H397" s="308">
        <v>0.3</v>
      </c>
      <c r="I397" s="323">
        <f t="shared" si="19"/>
        <v>0.39</v>
      </c>
      <c r="J397" s="307"/>
      <c r="K397" s="117"/>
      <c r="L397" s="117"/>
      <c r="M397" s="117"/>
      <c r="N397" s="116"/>
      <c r="O397" s="116"/>
      <c r="P397" s="116"/>
      <c r="Q397" s="116"/>
      <c r="R397" s="116"/>
      <c r="S397" s="116"/>
      <c r="T397" s="116"/>
      <c r="U397" s="116"/>
      <c r="V397" s="116"/>
      <c r="W397" s="116"/>
      <c r="X397" s="116"/>
      <c r="Y397" s="116"/>
      <c r="Z397" s="116"/>
      <c r="AA397" s="116"/>
      <c r="AB397" s="116"/>
      <c r="AC397" s="116"/>
      <c r="AD397" s="116"/>
    </row>
    <row r="398" spans="1:30" s="115" customFormat="1" ht="24.75" customHeight="1">
      <c r="A398" s="307"/>
      <c r="B398" s="445" t="s">
        <v>853</v>
      </c>
      <c r="C398" s="307">
        <v>2</v>
      </c>
      <c r="D398" s="307">
        <v>1</v>
      </c>
      <c r="E398" s="307">
        <v>1</v>
      </c>
      <c r="F398" s="335">
        <v>2.85</v>
      </c>
      <c r="G398" s="308">
        <v>0.23</v>
      </c>
      <c r="H398" s="308">
        <v>0.4</v>
      </c>
      <c r="I398" s="323">
        <f t="shared" si="19"/>
        <v>0.52</v>
      </c>
      <c r="J398" s="307"/>
      <c r="K398" s="117"/>
      <c r="L398" s="117"/>
      <c r="M398" s="117"/>
      <c r="N398" s="116"/>
      <c r="O398" s="116"/>
      <c r="P398" s="116"/>
      <c r="Q398" s="116"/>
      <c r="R398" s="116"/>
      <c r="S398" s="116"/>
      <c r="T398" s="116"/>
      <c r="U398" s="116"/>
      <c r="V398" s="116"/>
      <c r="W398" s="116"/>
      <c r="X398" s="116"/>
      <c r="Y398" s="116"/>
      <c r="Z398" s="116"/>
      <c r="AA398" s="116"/>
      <c r="AB398" s="116"/>
      <c r="AC398" s="116"/>
      <c r="AD398" s="116"/>
    </row>
    <row r="399" spans="1:30" s="115" customFormat="1" ht="24.75" customHeight="1">
      <c r="A399" s="307"/>
      <c r="B399" s="445" t="s">
        <v>853</v>
      </c>
      <c r="C399" s="307">
        <v>2</v>
      </c>
      <c r="D399" s="307">
        <v>1</v>
      </c>
      <c r="E399" s="307">
        <v>1</v>
      </c>
      <c r="F399" s="335">
        <v>2.85</v>
      </c>
      <c r="G399" s="308">
        <v>0.23</v>
      </c>
      <c r="H399" s="308">
        <v>0.45</v>
      </c>
      <c r="I399" s="323">
        <f t="shared" si="19"/>
        <v>0.59</v>
      </c>
      <c r="J399" s="307"/>
      <c r="K399" s="117"/>
      <c r="L399" s="117"/>
      <c r="M399" s="117"/>
      <c r="N399" s="116"/>
      <c r="O399" s="116"/>
      <c r="P399" s="116"/>
      <c r="Q399" s="116"/>
      <c r="R399" s="116"/>
      <c r="S399" s="116"/>
      <c r="T399" s="116"/>
      <c r="U399" s="116"/>
      <c r="V399" s="116"/>
      <c r="W399" s="116"/>
      <c r="X399" s="116"/>
      <c r="Y399" s="116"/>
      <c r="Z399" s="116"/>
      <c r="AA399" s="116"/>
      <c r="AB399" s="116"/>
      <c r="AC399" s="116"/>
      <c r="AD399" s="116"/>
    </row>
    <row r="400" spans="1:30" s="115" customFormat="1" ht="24.75" customHeight="1">
      <c r="A400" s="307"/>
      <c r="B400" s="445" t="s">
        <v>853</v>
      </c>
      <c r="C400" s="307">
        <v>1</v>
      </c>
      <c r="D400" s="307">
        <v>1</v>
      </c>
      <c r="E400" s="307">
        <v>1</v>
      </c>
      <c r="F400" s="335">
        <v>6.2</v>
      </c>
      <c r="G400" s="308">
        <v>0.23</v>
      </c>
      <c r="H400" s="308">
        <v>0.45</v>
      </c>
      <c r="I400" s="323">
        <f t="shared" si="19"/>
        <v>0.64</v>
      </c>
      <c r="J400" s="307"/>
      <c r="K400" s="117"/>
      <c r="L400" s="117"/>
      <c r="M400" s="117"/>
      <c r="N400" s="116"/>
      <c r="O400" s="116"/>
      <c r="P400" s="116"/>
      <c r="Q400" s="116"/>
      <c r="R400" s="116"/>
      <c r="S400" s="116"/>
      <c r="T400" s="116"/>
      <c r="U400" s="116"/>
      <c r="V400" s="116"/>
      <c r="W400" s="116"/>
      <c r="X400" s="116"/>
      <c r="Y400" s="116"/>
      <c r="Z400" s="116"/>
      <c r="AA400" s="116"/>
      <c r="AB400" s="116"/>
      <c r="AC400" s="116"/>
      <c r="AD400" s="116"/>
    </row>
    <row r="401" spans="1:30 16371:16371" s="115" customFormat="1" ht="24.75" customHeight="1">
      <c r="A401" s="307"/>
      <c r="B401" s="445" t="s">
        <v>944</v>
      </c>
      <c r="C401" s="307"/>
      <c r="D401" s="307"/>
      <c r="E401" s="307"/>
      <c r="F401" s="335"/>
      <c r="G401" s="308"/>
      <c r="H401" s="308"/>
      <c r="I401" s="323"/>
      <c r="J401" s="448"/>
      <c r="K401" s="117"/>
      <c r="L401" s="117"/>
      <c r="M401" s="117"/>
      <c r="N401" s="116"/>
      <c r="O401" s="116"/>
      <c r="P401" s="116"/>
      <c r="Q401" s="116"/>
      <c r="R401" s="116"/>
      <c r="S401" s="116"/>
      <c r="T401" s="116"/>
      <c r="U401" s="116"/>
      <c r="V401" s="116"/>
      <c r="W401" s="116"/>
      <c r="X401" s="116"/>
      <c r="Y401" s="116"/>
      <c r="Z401" s="116"/>
      <c r="AA401" s="116"/>
      <c r="AB401" s="116"/>
      <c r="AC401" s="116"/>
      <c r="AD401" s="116"/>
    </row>
    <row r="402" spans="1:30 16371:16371" s="6" customFormat="1">
      <c r="A402" s="427"/>
      <c r="B402" s="427" t="s">
        <v>931</v>
      </c>
      <c r="C402" s="428">
        <v>-1</v>
      </c>
      <c r="D402" s="428">
        <v>1</v>
      </c>
      <c r="E402" s="428">
        <v>79</v>
      </c>
      <c r="F402" s="430">
        <v>0.3</v>
      </c>
      <c r="G402" s="430">
        <v>0.45</v>
      </c>
      <c r="H402" s="430">
        <v>0.4</v>
      </c>
      <c r="I402" s="430">
        <f t="shared" si="19"/>
        <v>-4.2699999999999996</v>
      </c>
      <c r="J402" s="431"/>
    </row>
    <row r="403" spans="1:30 16371:16371" s="6" customFormat="1">
      <c r="A403" s="427"/>
      <c r="B403" s="427" t="s">
        <v>75</v>
      </c>
      <c r="C403" s="428">
        <v>-1</v>
      </c>
      <c r="D403" s="428">
        <v>1</v>
      </c>
      <c r="E403" s="428">
        <v>54</v>
      </c>
      <c r="F403" s="430">
        <v>0.3</v>
      </c>
      <c r="G403" s="430">
        <v>0.6</v>
      </c>
      <c r="H403" s="430">
        <v>0.4</v>
      </c>
      <c r="I403" s="430">
        <f t="shared" si="19"/>
        <v>-3.89</v>
      </c>
      <c r="J403" s="431"/>
    </row>
    <row r="404" spans="1:30 16371:16371" s="6" customFormat="1">
      <c r="A404" s="427"/>
      <c r="B404" s="427" t="s">
        <v>76</v>
      </c>
      <c r="C404" s="428">
        <v>-1</v>
      </c>
      <c r="D404" s="428">
        <v>1</v>
      </c>
      <c r="E404" s="428">
        <v>3</v>
      </c>
      <c r="F404" s="430">
        <v>0.3</v>
      </c>
      <c r="G404" s="430">
        <v>0.6</v>
      </c>
      <c r="H404" s="430">
        <v>0.4</v>
      </c>
      <c r="I404" s="430">
        <f t="shared" si="19"/>
        <v>-0.22</v>
      </c>
      <c r="J404" s="431"/>
    </row>
    <row r="405" spans="1:30 16371:16371" s="6" customFormat="1">
      <c r="A405" s="427"/>
      <c r="B405" s="427" t="s">
        <v>485</v>
      </c>
      <c r="C405" s="428">
        <v>-1</v>
      </c>
      <c r="D405" s="428">
        <v>1</v>
      </c>
      <c r="E405" s="428">
        <v>7</v>
      </c>
      <c r="F405" s="430">
        <v>0.3</v>
      </c>
      <c r="G405" s="430">
        <v>0.75</v>
      </c>
      <c r="H405" s="430">
        <v>0.4</v>
      </c>
      <c r="I405" s="430">
        <f t="shared" si="19"/>
        <v>-0.63</v>
      </c>
      <c r="J405" s="431"/>
    </row>
    <row r="406" spans="1:30 16371:16371" s="6" customFormat="1">
      <c r="A406" s="427"/>
      <c r="B406" s="427" t="s">
        <v>487</v>
      </c>
      <c r="C406" s="428">
        <v>-1</v>
      </c>
      <c r="D406" s="428">
        <v>1</v>
      </c>
      <c r="E406" s="428">
        <v>1</v>
      </c>
      <c r="F406" s="430">
        <v>0.38</v>
      </c>
      <c r="G406" s="430">
        <v>0.75</v>
      </c>
      <c r="H406" s="430">
        <v>0.4</v>
      </c>
      <c r="I406" s="430">
        <f t="shared" si="19"/>
        <v>-0.11</v>
      </c>
      <c r="J406" s="431"/>
    </row>
    <row r="407" spans="1:30 16371:16371" s="115" customFormat="1" ht="18.75" customHeight="1">
      <c r="A407" s="307"/>
      <c r="B407" s="319" t="s">
        <v>512</v>
      </c>
      <c r="C407" s="307"/>
      <c r="D407" s="307"/>
      <c r="E407" s="307"/>
      <c r="F407" s="335"/>
      <c r="G407" s="307"/>
      <c r="H407" s="307"/>
      <c r="I407" s="323"/>
      <c r="J407" s="307"/>
      <c r="K407" s="117"/>
      <c r="L407" s="117"/>
      <c r="M407" s="117"/>
      <c r="N407" s="116"/>
      <c r="O407" s="116"/>
      <c r="P407" s="116"/>
      <c r="Q407" s="116"/>
      <c r="R407" s="116"/>
      <c r="S407" s="116"/>
      <c r="T407" s="116"/>
      <c r="U407" s="116"/>
      <c r="V407" s="116"/>
      <c r="W407" s="116"/>
      <c r="X407" s="116"/>
      <c r="Y407" s="116"/>
      <c r="Z407" s="116"/>
      <c r="AA407" s="116"/>
      <c r="AB407" s="116"/>
      <c r="AC407" s="116"/>
      <c r="AD407" s="116"/>
    </row>
    <row r="408" spans="1:30 16371:16371" s="78" customFormat="1" ht="16.5" customHeight="1">
      <c r="A408" s="294"/>
      <c r="B408" s="302" t="s">
        <v>511</v>
      </c>
      <c r="C408" s="294">
        <v>1</v>
      </c>
      <c r="D408" s="294">
        <v>5</v>
      </c>
      <c r="E408" s="294">
        <v>2</v>
      </c>
      <c r="F408" s="300">
        <v>2.4119999999999999</v>
      </c>
      <c r="G408" s="300">
        <v>0.23</v>
      </c>
      <c r="H408" s="295">
        <v>0.4</v>
      </c>
      <c r="I408" s="298">
        <f>PRODUCT(C408:H408)</f>
        <v>2.2200000000000002</v>
      </c>
      <c r="J408" s="303"/>
      <c r="K408" s="79"/>
      <c r="L408" s="79"/>
      <c r="M408" s="79"/>
      <c r="N408" s="79">
        <f>1.215+1.43</f>
        <v>2.645</v>
      </c>
      <c r="O408" s="79"/>
      <c r="P408" s="79"/>
      <c r="Q408" s="79"/>
      <c r="R408" s="79"/>
      <c r="S408" s="79"/>
      <c r="T408" s="79"/>
      <c r="U408" s="79"/>
      <c r="V408" s="79"/>
      <c r="W408" s="79"/>
      <c r="X408" s="79"/>
      <c r="Y408" s="79"/>
      <c r="Z408" s="79"/>
      <c r="AA408" s="79"/>
      <c r="AB408" s="79"/>
      <c r="AC408" s="79"/>
      <c r="AD408" s="79"/>
    </row>
    <row r="409" spans="1:30 16371:16371" s="78" customFormat="1" ht="25.5" customHeight="1">
      <c r="A409" s="294"/>
      <c r="B409" s="302" t="s">
        <v>510</v>
      </c>
      <c r="C409" s="294">
        <v>1</v>
      </c>
      <c r="D409" s="294">
        <v>5</v>
      </c>
      <c r="E409" s="294">
        <v>1</v>
      </c>
      <c r="F409" s="300">
        <v>2.4</v>
      </c>
      <c r="G409" s="300">
        <v>0.115</v>
      </c>
      <c r="H409" s="295">
        <v>0.4</v>
      </c>
      <c r="I409" s="298">
        <f>PRODUCT(C409:H409)</f>
        <v>0.55000000000000004</v>
      </c>
      <c r="J409" s="303"/>
      <c r="K409" s="79"/>
      <c r="L409" s="79"/>
      <c r="M409" s="79"/>
      <c r="N409" s="79">
        <f>1.194+0.985</f>
        <v>2.1789999999999998</v>
      </c>
      <c r="O409" s="79"/>
      <c r="P409" s="79"/>
      <c r="Q409" s="79"/>
      <c r="R409" s="79"/>
      <c r="S409" s="79"/>
      <c r="T409" s="79"/>
      <c r="U409" s="79"/>
      <c r="V409" s="79"/>
      <c r="W409" s="79"/>
      <c r="X409" s="79"/>
      <c r="Y409" s="79"/>
      <c r="Z409" s="79"/>
      <c r="AA409" s="79"/>
      <c r="AB409" s="79"/>
      <c r="AC409" s="79"/>
      <c r="AD409" s="79"/>
    </row>
    <row r="410" spans="1:30 16371:16371" s="123" customFormat="1" ht="18.75" customHeight="1">
      <c r="A410" s="307"/>
      <c r="B410" s="302" t="s">
        <v>509</v>
      </c>
      <c r="C410" s="307">
        <v>1</v>
      </c>
      <c r="D410" s="307">
        <v>5</v>
      </c>
      <c r="E410" s="307">
        <v>2</v>
      </c>
      <c r="F410" s="317">
        <v>0.6</v>
      </c>
      <c r="G410" s="317">
        <v>0.23</v>
      </c>
      <c r="H410" s="308">
        <v>0.4</v>
      </c>
      <c r="I410" s="323">
        <f>PRODUCT(C410:H410)</f>
        <v>0.55000000000000004</v>
      </c>
      <c r="J410" s="302"/>
      <c r="K410" s="125"/>
      <c r="L410" s="125"/>
      <c r="M410" s="125"/>
      <c r="N410" s="124"/>
      <c r="O410" s="124"/>
      <c r="P410" s="124"/>
      <c r="Q410" s="124"/>
      <c r="R410" s="124"/>
      <c r="S410" s="124"/>
      <c r="T410" s="124"/>
      <c r="U410" s="124"/>
      <c r="V410" s="124"/>
      <c r="W410" s="124"/>
      <c r="X410" s="124"/>
      <c r="Y410" s="124"/>
      <c r="Z410" s="124"/>
      <c r="AA410" s="124"/>
      <c r="AB410" s="124"/>
      <c r="AC410" s="124"/>
      <c r="AD410" s="124"/>
    </row>
    <row r="411" spans="1:30 16371:16371" s="78" customFormat="1" ht="25.5" customHeight="1">
      <c r="A411" s="294"/>
      <c r="B411" s="302" t="s">
        <v>510</v>
      </c>
      <c r="C411" s="294">
        <v>1</v>
      </c>
      <c r="D411" s="294">
        <v>5</v>
      </c>
      <c r="E411" s="294">
        <v>1</v>
      </c>
      <c r="F411" s="300">
        <v>2.35</v>
      </c>
      <c r="G411" s="300">
        <v>0.115</v>
      </c>
      <c r="H411" s="295">
        <v>0.4</v>
      </c>
      <c r="I411" s="298">
        <f>PRODUCT(C411:H411)</f>
        <v>0.54</v>
      </c>
      <c r="J411" s="303"/>
      <c r="K411" s="79"/>
      <c r="L411" s="79"/>
      <c r="M411" s="79"/>
      <c r="N411" s="79">
        <f>1.194+0.985</f>
        <v>2.1789999999999998</v>
      </c>
      <c r="O411" s="79"/>
      <c r="P411" s="79"/>
      <c r="Q411" s="79"/>
      <c r="R411" s="79"/>
      <c r="S411" s="79"/>
      <c r="T411" s="79"/>
      <c r="U411" s="79"/>
      <c r="V411" s="79"/>
      <c r="W411" s="79"/>
      <c r="X411" s="79"/>
      <c r="Y411" s="79"/>
      <c r="Z411" s="79"/>
      <c r="AA411" s="79"/>
      <c r="AB411" s="79"/>
      <c r="AC411" s="79"/>
      <c r="AD411" s="79"/>
    </row>
    <row r="412" spans="1:30 16371:16371" s="123" customFormat="1" ht="18.75" customHeight="1">
      <c r="A412" s="307"/>
      <c r="B412" s="302" t="s">
        <v>509</v>
      </c>
      <c r="C412" s="307">
        <v>1</v>
      </c>
      <c r="D412" s="307">
        <v>5</v>
      </c>
      <c r="E412" s="307">
        <v>2</v>
      </c>
      <c r="F412" s="317">
        <v>0.6</v>
      </c>
      <c r="G412" s="317">
        <v>0.23</v>
      </c>
      <c r="H412" s="308">
        <v>0.4</v>
      </c>
      <c r="I412" s="323">
        <f>PRODUCT(C412:H412)</f>
        <v>0.55000000000000004</v>
      </c>
      <c r="J412" s="302"/>
      <c r="K412" s="125"/>
      <c r="L412" s="125"/>
      <c r="M412" s="125"/>
      <c r="N412" s="124"/>
      <c r="O412" s="124"/>
      <c r="P412" s="124"/>
      <c r="Q412" s="124"/>
      <c r="R412" s="124"/>
      <c r="S412" s="124"/>
      <c r="T412" s="124"/>
      <c r="U412" s="124"/>
      <c r="V412" s="124"/>
      <c r="W412" s="124"/>
      <c r="X412" s="124"/>
      <c r="Y412" s="124"/>
      <c r="Z412" s="124"/>
      <c r="AA412" s="124"/>
      <c r="AB412" s="124"/>
      <c r="AC412" s="124"/>
      <c r="AD412" s="124"/>
    </row>
    <row r="413" spans="1:30 16371:16371" s="2" customFormat="1" ht="18.75" customHeight="1">
      <c r="A413" s="278"/>
      <c r="B413" s="279"/>
      <c r="C413" s="278"/>
      <c r="D413" s="280"/>
      <c r="E413" s="278"/>
      <c r="F413" s="282"/>
      <c r="G413" s="589" t="s">
        <v>41</v>
      </c>
      <c r="H413" s="590"/>
      <c r="I413" s="416">
        <f>SUM(I307:I412)</f>
        <v>263.83999999999997</v>
      </c>
      <c r="J413" s="284" t="s">
        <v>21</v>
      </c>
      <c r="K413" s="43"/>
      <c r="L413" s="43"/>
      <c r="M413" s="43"/>
      <c r="N413" s="9"/>
      <c r="O413" s="9"/>
      <c r="P413" s="9"/>
      <c r="Q413" s="9"/>
      <c r="R413" s="9"/>
      <c r="S413" s="9"/>
      <c r="T413" s="9"/>
      <c r="U413" s="9"/>
      <c r="V413" s="9"/>
      <c r="W413" s="9"/>
      <c r="X413" s="9"/>
      <c r="Y413" s="9"/>
      <c r="Z413" s="9"/>
      <c r="AA413" s="9"/>
      <c r="AB413" s="9"/>
      <c r="AC413" s="9"/>
      <c r="AD413" s="9"/>
    </row>
    <row r="414" spans="1:30 16371:16371" s="2" customFormat="1" ht="18.75" customHeight="1">
      <c r="A414" s="288"/>
      <c r="B414" s="286"/>
      <c r="C414" s="280"/>
      <c r="D414" s="280"/>
      <c r="E414" s="280"/>
      <c r="F414" s="282"/>
      <c r="G414" s="589" t="s">
        <v>55</v>
      </c>
      <c r="H414" s="590"/>
      <c r="I414" s="416">
        <f>ROUNDUP(I413,1)</f>
        <v>263.89999999999998</v>
      </c>
      <c r="J414" s="287" t="s">
        <v>21</v>
      </c>
      <c r="K414" s="42"/>
      <c r="L414" s="42"/>
      <c r="M414" s="42"/>
      <c r="N414" s="9"/>
      <c r="O414" s="9"/>
      <c r="P414" s="9"/>
      <c r="Q414" s="9"/>
      <c r="R414" s="9"/>
      <c r="S414" s="9"/>
      <c r="T414" s="9"/>
      <c r="U414" s="9"/>
      <c r="V414" s="9"/>
      <c r="W414" s="9"/>
      <c r="X414" s="9"/>
      <c r="Y414" s="9"/>
      <c r="Z414" s="9"/>
      <c r="AA414" s="9"/>
      <c r="AB414" s="9"/>
      <c r="AC414" s="9"/>
      <c r="AD414" s="9"/>
    </row>
    <row r="415" spans="1:30 16371:16371" s="1" customFormat="1" ht="25.5" customHeight="1">
      <c r="A415" s="449"/>
      <c r="B415" s="286" t="s">
        <v>479</v>
      </c>
      <c r="C415" s="450"/>
      <c r="D415" s="450"/>
      <c r="E415" s="450"/>
      <c r="F415" s="451"/>
      <c r="G415" s="451"/>
      <c r="H415" s="451"/>
      <c r="I415" s="452"/>
      <c r="J415" s="284"/>
      <c r="K415" s="43"/>
      <c r="L415" s="43"/>
      <c r="M415" s="43"/>
      <c r="N415" s="150"/>
      <c r="O415" s="150"/>
      <c r="P415" s="150"/>
      <c r="Q415" s="150"/>
      <c r="R415" s="150"/>
      <c r="S415" s="150"/>
      <c r="T415" s="150"/>
      <c r="U415" s="150"/>
      <c r="V415" s="150"/>
      <c r="W415" s="150"/>
      <c r="X415" s="150"/>
      <c r="Y415" s="150"/>
      <c r="Z415" s="150"/>
      <c r="AA415" s="150"/>
      <c r="AB415" s="150"/>
      <c r="AC415" s="150"/>
      <c r="AD415" s="150"/>
    </row>
    <row r="416" spans="1:30 16371:16371" s="147" customFormat="1" ht="21" customHeight="1">
      <c r="A416" s="453"/>
      <c r="B416" s="319" t="s">
        <v>839</v>
      </c>
      <c r="C416" s="453"/>
      <c r="D416" s="453"/>
      <c r="E416" s="453"/>
      <c r="F416" s="453"/>
      <c r="G416" s="453"/>
      <c r="H416" s="453"/>
      <c r="I416" s="454"/>
      <c r="J416" s="455"/>
      <c r="K416" s="149"/>
      <c r="L416" s="149"/>
      <c r="M416" s="149"/>
      <c r="N416" s="148"/>
      <c r="O416" s="148"/>
      <c r="P416" s="148"/>
      <c r="Q416" s="148"/>
      <c r="R416" s="148"/>
      <c r="S416" s="148"/>
      <c r="T416" s="148"/>
      <c r="U416" s="148"/>
      <c r="V416" s="148"/>
      <c r="W416" s="148"/>
      <c r="X416" s="148"/>
      <c r="Y416" s="148"/>
      <c r="Z416" s="148"/>
      <c r="AA416" s="148"/>
      <c r="AB416" s="148"/>
      <c r="AC416" s="148"/>
      <c r="AD416" s="148"/>
      <c r="XEQ416" s="147">
        <f>SUM(A416:XEP416)</f>
        <v>0</v>
      </c>
    </row>
    <row r="417" spans="1:30" s="6" customFormat="1">
      <c r="A417" s="427"/>
      <c r="B417" s="427" t="s">
        <v>931</v>
      </c>
      <c r="C417" s="428">
        <v>1</v>
      </c>
      <c r="D417" s="428">
        <v>1</v>
      </c>
      <c r="E417" s="428">
        <v>79</v>
      </c>
      <c r="F417" s="430">
        <v>0.3</v>
      </c>
      <c r="G417" s="430">
        <v>0.45</v>
      </c>
      <c r="H417" s="430">
        <v>2.65</v>
      </c>
      <c r="I417" s="430">
        <f t="shared" ref="I417:I422" si="20">PRODUCT(C417:H417)</f>
        <v>28.26</v>
      </c>
      <c r="J417" s="431"/>
    </row>
    <row r="418" spans="1:30" s="6" customFormat="1">
      <c r="A418" s="427"/>
      <c r="B418" s="427" t="s">
        <v>75</v>
      </c>
      <c r="C418" s="428">
        <v>1</v>
      </c>
      <c r="D418" s="428">
        <v>1</v>
      </c>
      <c r="E418" s="428">
        <v>54</v>
      </c>
      <c r="F418" s="430">
        <v>0.3</v>
      </c>
      <c r="G418" s="430">
        <v>0.6</v>
      </c>
      <c r="H418" s="430">
        <v>2.65</v>
      </c>
      <c r="I418" s="430">
        <f t="shared" si="20"/>
        <v>25.76</v>
      </c>
      <c r="J418" s="431"/>
    </row>
    <row r="419" spans="1:30" s="6" customFormat="1">
      <c r="A419" s="427"/>
      <c r="B419" s="427" t="s">
        <v>76</v>
      </c>
      <c r="C419" s="428">
        <v>1</v>
      </c>
      <c r="D419" s="428">
        <v>1</v>
      </c>
      <c r="E419" s="428">
        <v>3</v>
      </c>
      <c r="F419" s="430">
        <v>0.3</v>
      </c>
      <c r="G419" s="430">
        <v>0.6</v>
      </c>
      <c r="H419" s="430">
        <v>2.65</v>
      </c>
      <c r="I419" s="430">
        <f t="shared" si="20"/>
        <v>1.43</v>
      </c>
      <c r="J419" s="431"/>
    </row>
    <row r="420" spans="1:30" s="6" customFormat="1">
      <c r="A420" s="427"/>
      <c r="B420" s="427" t="s">
        <v>485</v>
      </c>
      <c r="C420" s="428">
        <v>1</v>
      </c>
      <c r="D420" s="428">
        <v>1</v>
      </c>
      <c r="E420" s="428">
        <v>7</v>
      </c>
      <c r="F420" s="430">
        <v>0.3</v>
      </c>
      <c r="G420" s="430">
        <v>0.75</v>
      </c>
      <c r="H420" s="430">
        <v>2.65</v>
      </c>
      <c r="I420" s="430">
        <f t="shared" si="20"/>
        <v>4.17</v>
      </c>
      <c r="J420" s="431"/>
    </row>
    <row r="421" spans="1:30" s="6" customFormat="1">
      <c r="A421" s="427"/>
      <c r="B421" s="427" t="s">
        <v>487</v>
      </c>
      <c r="C421" s="428">
        <v>1</v>
      </c>
      <c r="D421" s="428">
        <v>1</v>
      </c>
      <c r="E421" s="428">
        <v>1</v>
      </c>
      <c r="F421" s="430">
        <v>0.38</v>
      </c>
      <c r="G421" s="430">
        <v>0.75</v>
      </c>
      <c r="H421" s="430">
        <v>2.65</v>
      </c>
      <c r="I421" s="430">
        <f t="shared" si="20"/>
        <v>0.76</v>
      </c>
      <c r="J421" s="431"/>
    </row>
    <row r="422" spans="1:30" s="85" customFormat="1" ht="34.5" customHeight="1">
      <c r="A422" s="294"/>
      <c r="B422" s="293" t="s">
        <v>491</v>
      </c>
      <c r="C422" s="294">
        <v>1</v>
      </c>
      <c r="D422" s="294">
        <v>3</v>
      </c>
      <c r="E422" s="294">
        <v>2</v>
      </c>
      <c r="F422" s="295">
        <v>0.23</v>
      </c>
      <c r="G422" s="295">
        <v>0.6</v>
      </c>
      <c r="H422" s="295">
        <v>1.1000000000000001</v>
      </c>
      <c r="I422" s="298">
        <f t="shared" si="20"/>
        <v>0.91</v>
      </c>
      <c r="J422" s="294"/>
      <c r="K422" s="87">
        <f>2.2+0.3+0.35</f>
        <v>2.85</v>
      </c>
      <c r="L422" s="86"/>
      <c r="M422" s="86"/>
      <c r="N422" s="86"/>
      <c r="O422" s="86"/>
      <c r="P422" s="86"/>
      <c r="Q422" s="86"/>
      <c r="R422" s="86"/>
      <c r="S422" s="86"/>
      <c r="T422" s="86"/>
      <c r="U422" s="86"/>
      <c r="V422" s="86"/>
      <c r="W422" s="86"/>
      <c r="X422" s="86"/>
      <c r="Y422" s="86"/>
      <c r="Z422" s="86"/>
      <c r="AA422" s="86"/>
      <c r="AB422" s="86"/>
      <c r="AC422" s="86"/>
      <c r="AD422" s="86"/>
    </row>
    <row r="423" spans="1:30" s="85" customFormat="1" ht="18.75" customHeight="1">
      <c r="A423" s="294"/>
      <c r="B423" s="296" t="s">
        <v>838</v>
      </c>
      <c r="C423" s="294"/>
      <c r="D423" s="294"/>
      <c r="E423" s="294"/>
      <c r="F423" s="294"/>
      <c r="G423" s="295"/>
      <c r="H423" s="295"/>
      <c r="I423" s="291"/>
      <c r="J423" s="292"/>
      <c r="K423" s="146"/>
      <c r="L423" s="146"/>
      <c r="M423" s="146"/>
      <c r="N423" s="86"/>
      <c r="O423" s="86"/>
      <c r="P423" s="86"/>
      <c r="Q423" s="86"/>
      <c r="R423" s="86"/>
      <c r="S423" s="86"/>
      <c r="T423" s="86"/>
      <c r="U423" s="86"/>
      <c r="V423" s="86"/>
      <c r="W423" s="86"/>
      <c r="X423" s="86"/>
      <c r="Y423" s="86"/>
      <c r="Z423" s="86"/>
      <c r="AA423" s="86"/>
      <c r="AB423" s="86"/>
      <c r="AC423" s="86"/>
      <c r="AD423" s="86"/>
    </row>
    <row r="424" spans="1:30" s="73" customFormat="1" ht="18.75" customHeight="1">
      <c r="A424" s="278"/>
      <c r="B424" s="279" t="s">
        <v>837</v>
      </c>
      <c r="C424" s="280">
        <v>1</v>
      </c>
      <c r="D424" s="280">
        <v>1</v>
      </c>
      <c r="E424" s="280">
        <v>2</v>
      </c>
      <c r="F424" s="282">
        <v>9.92</v>
      </c>
      <c r="G424" s="282">
        <v>0.23</v>
      </c>
      <c r="H424" s="282">
        <v>2.65</v>
      </c>
      <c r="I424" s="283">
        <f>PRODUCT(C424:H424)</f>
        <v>12.09</v>
      </c>
      <c r="J424" s="284"/>
      <c r="K424" s="43"/>
      <c r="L424" s="43"/>
      <c r="M424" s="43"/>
      <c r="N424" s="74">
        <f>2.6+0.23</f>
        <v>2.83</v>
      </c>
      <c r="O424" s="74">
        <f>2.85-0.4</f>
        <v>2.4500000000000002</v>
      </c>
      <c r="P424" s="74"/>
      <c r="Q424" s="74"/>
      <c r="R424" s="74"/>
      <c r="S424" s="74"/>
      <c r="T424" s="74"/>
      <c r="U424" s="74"/>
      <c r="V424" s="74"/>
      <c r="W424" s="74"/>
      <c r="X424" s="74"/>
      <c r="Y424" s="74"/>
      <c r="Z424" s="74"/>
      <c r="AA424" s="74"/>
      <c r="AB424" s="74"/>
      <c r="AC424" s="74"/>
      <c r="AD424" s="74"/>
    </row>
    <row r="425" spans="1:30" s="73" customFormat="1" ht="18.75" customHeight="1">
      <c r="A425" s="278"/>
      <c r="B425" s="279" t="s">
        <v>836</v>
      </c>
      <c r="C425" s="280">
        <v>1</v>
      </c>
      <c r="D425" s="280">
        <v>1</v>
      </c>
      <c r="E425" s="280">
        <v>1</v>
      </c>
      <c r="F425" s="282">
        <v>11.52</v>
      </c>
      <c r="G425" s="282">
        <v>0.23</v>
      </c>
      <c r="H425" s="282">
        <v>2.65</v>
      </c>
      <c r="I425" s="283">
        <f>PRODUCT(C425:H425)</f>
        <v>7.02</v>
      </c>
      <c r="J425" s="284"/>
      <c r="K425" s="43"/>
      <c r="L425" s="43"/>
      <c r="M425" s="43"/>
      <c r="N425" s="74">
        <f>1.9+0.23</f>
        <v>2.13</v>
      </c>
      <c r="O425" s="74">
        <f>N425+N424</f>
        <v>4.96</v>
      </c>
      <c r="P425" s="74">
        <f>O425*2</f>
        <v>9.92</v>
      </c>
      <c r="Q425" s="74">
        <f>2.3+0.23</f>
        <v>2.5299999999999998</v>
      </c>
      <c r="R425" s="74">
        <f>3+0.23</f>
        <v>3.23</v>
      </c>
      <c r="S425" s="74"/>
      <c r="T425" s="74"/>
      <c r="U425" s="74"/>
      <c r="V425" s="74"/>
      <c r="W425" s="74"/>
      <c r="X425" s="74"/>
      <c r="Y425" s="74"/>
      <c r="Z425" s="74"/>
      <c r="AA425" s="74"/>
      <c r="AB425" s="74"/>
      <c r="AC425" s="74"/>
      <c r="AD425" s="74"/>
    </row>
    <row r="426" spans="1:30" s="85" customFormat="1" ht="18.75" customHeight="1">
      <c r="A426" s="294"/>
      <c r="B426" s="297" t="s">
        <v>835</v>
      </c>
      <c r="C426" s="294">
        <v>1</v>
      </c>
      <c r="D426" s="294">
        <v>-2</v>
      </c>
      <c r="E426" s="294">
        <v>1</v>
      </c>
      <c r="F426" s="295">
        <v>1</v>
      </c>
      <c r="G426" s="295">
        <v>0.23</v>
      </c>
      <c r="H426" s="295">
        <v>2.1</v>
      </c>
      <c r="I426" s="298">
        <f>PRODUCT(C426:H426)</f>
        <v>-0.97</v>
      </c>
      <c r="J426" s="294"/>
      <c r="K426" s="86"/>
      <c r="L426" s="86"/>
      <c r="M426" s="86"/>
      <c r="N426" s="86"/>
      <c r="O426" s="86"/>
      <c r="P426" s="86"/>
      <c r="Q426" s="86"/>
      <c r="R426" s="86"/>
      <c r="S426" s="86"/>
      <c r="T426" s="86"/>
      <c r="U426" s="86"/>
      <c r="V426" s="86"/>
      <c r="W426" s="86"/>
      <c r="X426" s="86"/>
      <c r="Y426" s="86"/>
      <c r="Z426" s="86"/>
      <c r="AA426" s="86"/>
      <c r="AB426" s="86"/>
      <c r="AC426" s="86"/>
      <c r="AD426" s="86"/>
    </row>
    <row r="427" spans="1:30" s="85" customFormat="1" ht="18.75" customHeight="1">
      <c r="A427" s="294"/>
      <c r="B427" s="297" t="s">
        <v>834</v>
      </c>
      <c r="C427" s="294">
        <v>1</v>
      </c>
      <c r="D427" s="294">
        <v>-1</v>
      </c>
      <c r="E427" s="294">
        <v>1</v>
      </c>
      <c r="F427" s="295">
        <v>1.2</v>
      </c>
      <c r="G427" s="295">
        <v>0.23</v>
      </c>
      <c r="H427" s="295">
        <v>2.1</v>
      </c>
      <c r="I427" s="298">
        <f>PRODUCT(C427:H427)</f>
        <v>-0.57999999999999996</v>
      </c>
      <c r="J427" s="294"/>
      <c r="K427" s="86"/>
      <c r="L427" s="86"/>
      <c r="M427" s="86"/>
      <c r="N427" s="86"/>
      <c r="O427" s="86"/>
      <c r="P427" s="86"/>
      <c r="Q427" s="86"/>
      <c r="R427" s="86"/>
      <c r="S427" s="86"/>
      <c r="T427" s="86"/>
      <c r="U427" s="86"/>
      <c r="V427" s="86"/>
      <c r="W427" s="86"/>
      <c r="X427" s="86"/>
      <c r="Y427" s="86"/>
      <c r="Z427" s="86"/>
      <c r="AA427" s="86"/>
      <c r="AB427" s="86"/>
      <c r="AC427" s="86"/>
      <c r="AD427" s="86"/>
    </row>
    <row r="428" spans="1:30" s="85" customFormat="1" ht="18.75" customHeight="1">
      <c r="A428" s="294"/>
      <c r="B428" s="304" t="s">
        <v>940</v>
      </c>
      <c r="C428" s="289"/>
      <c r="D428" s="289"/>
      <c r="E428" s="294"/>
      <c r="F428" s="289"/>
      <c r="G428" s="289"/>
      <c r="H428" s="289"/>
      <c r="I428" s="291"/>
      <c r="J428" s="294"/>
      <c r="K428" s="86"/>
      <c r="L428" s="86"/>
      <c r="M428" s="86"/>
      <c r="N428" s="86"/>
      <c r="O428" s="86"/>
      <c r="P428" s="86"/>
      <c r="Q428" s="86"/>
      <c r="R428" s="86"/>
      <c r="S428" s="86"/>
      <c r="T428" s="86"/>
      <c r="U428" s="86"/>
      <c r="V428" s="86"/>
      <c r="W428" s="86"/>
      <c r="X428" s="86"/>
      <c r="Y428" s="86"/>
      <c r="Z428" s="86"/>
      <c r="AA428" s="86"/>
      <c r="AB428" s="86"/>
      <c r="AC428" s="86"/>
      <c r="AD428" s="86"/>
    </row>
    <row r="429" spans="1:30" s="85" customFormat="1" ht="18.75" customHeight="1">
      <c r="A429" s="294"/>
      <c r="B429" s="297" t="s">
        <v>833</v>
      </c>
      <c r="C429" s="294">
        <v>1</v>
      </c>
      <c r="D429" s="294">
        <v>2</v>
      </c>
      <c r="E429" s="294">
        <v>2</v>
      </c>
      <c r="F429" s="295">
        <v>3.3</v>
      </c>
      <c r="G429" s="295">
        <v>1.35</v>
      </c>
      <c r="H429" s="294">
        <v>0.15</v>
      </c>
      <c r="I429" s="298">
        <f>PRODUCT(C429:H429)</f>
        <v>2.67</v>
      </c>
      <c r="J429" s="294"/>
      <c r="K429" s="86"/>
      <c r="L429" s="86"/>
      <c r="M429" s="86"/>
      <c r="N429" s="86"/>
      <c r="O429" s="86"/>
      <c r="P429" s="86"/>
      <c r="Q429" s="86"/>
      <c r="R429" s="86"/>
      <c r="S429" s="86"/>
      <c r="T429" s="86"/>
      <c r="U429" s="86"/>
      <c r="V429" s="86"/>
      <c r="W429" s="86"/>
      <c r="X429" s="86"/>
      <c r="Y429" s="86"/>
      <c r="Z429" s="86"/>
      <c r="AA429" s="86"/>
      <c r="AB429" s="86"/>
      <c r="AC429" s="86"/>
      <c r="AD429" s="86"/>
    </row>
    <row r="430" spans="1:30" s="85" customFormat="1" ht="18.75" customHeight="1">
      <c r="A430" s="294"/>
      <c r="B430" s="297" t="s">
        <v>528</v>
      </c>
      <c r="C430" s="294">
        <v>0.5</v>
      </c>
      <c r="D430" s="294">
        <v>20</v>
      </c>
      <c r="E430" s="294">
        <v>2</v>
      </c>
      <c r="F430" s="295">
        <v>1.35</v>
      </c>
      <c r="G430" s="295">
        <v>0.3</v>
      </c>
      <c r="H430" s="294">
        <v>0.15</v>
      </c>
      <c r="I430" s="298">
        <f>PRODUCT(C430:H430)</f>
        <v>1.22</v>
      </c>
      <c r="J430" s="294"/>
      <c r="K430" s="86"/>
      <c r="L430" s="86"/>
      <c r="M430" s="86"/>
      <c r="N430" s="86"/>
      <c r="O430" s="86"/>
      <c r="P430" s="86"/>
      <c r="Q430" s="86"/>
      <c r="R430" s="86"/>
      <c r="S430" s="86"/>
      <c r="T430" s="86"/>
      <c r="U430" s="86"/>
      <c r="V430" s="86"/>
      <c r="W430" s="86"/>
      <c r="X430" s="86"/>
      <c r="Y430" s="86"/>
      <c r="Z430" s="86"/>
      <c r="AA430" s="86"/>
      <c r="AB430" s="86"/>
      <c r="AC430" s="86"/>
      <c r="AD430" s="86"/>
    </row>
    <row r="431" spans="1:30" s="85" customFormat="1" ht="18.75" customHeight="1">
      <c r="A431" s="294"/>
      <c r="B431" s="297" t="s">
        <v>77</v>
      </c>
      <c r="C431" s="294">
        <v>1</v>
      </c>
      <c r="D431" s="294">
        <v>2</v>
      </c>
      <c r="E431" s="294">
        <v>2</v>
      </c>
      <c r="F431" s="295">
        <v>1.5</v>
      </c>
      <c r="G431" s="295">
        <v>2.85</v>
      </c>
      <c r="H431" s="294">
        <v>0.15</v>
      </c>
      <c r="I431" s="298">
        <f>PRODUCT(C431:H431)</f>
        <v>2.57</v>
      </c>
      <c r="J431" s="294"/>
      <c r="K431" s="86"/>
      <c r="L431" s="86"/>
      <c r="M431" s="86"/>
      <c r="N431" s="86"/>
      <c r="O431" s="86"/>
      <c r="P431" s="86"/>
      <c r="Q431" s="86"/>
      <c r="R431" s="86"/>
      <c r="S431" s="86"/>
      <c r="T431" s="86"/>
      <c r="U431" s="86"/>
      <c r="V431" s="86"/>
      <c r="W431" s="86"/>
      <c r="X431" s="86"/>
      <c r="Y431" s="86"/>
      <c r="Z431" s="86"/>
      <c r="AA431" s="86"/>
      <c r="AB431" s="86"/>
      <c r="AC431" s="86"/>
      <c r="AD431" s="86"/>
    </row>
    <row r="432" spans="1:30" s="85" customFormat="1" ht="18.75" customHeight="1">
      <c r="A432" s="294"/>
      <c r="B432" s="297" t="s">
        <v>527</v>
      </c>
      <c r="C432" s="294">
        <v>1</v>
      </c>
      <c r="D432" s="294">
        <v>1</v>
      </c>
      <c r="E432" s="294">
        <v>2</v>
      </c>
      <c r="F432" s="295">
        <v>3.31</v>
      </c>
      <c r="G432" s="294">
        <v>0.23</v>
      </c>
      <c r="H432" s="295">
        <v>0.4</v>
      </c>
      <c r="I432" s="298">
        <f>PRODUCT(C432:H432)</f>
        <v>0.61</v>
      </c>
      <c r="J432" s="294"/>
      <c r="K432" s="86"/>
      <c r="L432" s="86"/>
      <c r="M432" s="86"/>
      <c r="N432" s="86"/>
      <c r="O432" s="86"/>
      <c r="P432" s="86"/>
      <c r="Q432" s="86"/>
      <c r="R432" s="86"/>
      <c r="S432" s="86"/>
      <c r="T432" s="86"/>
      <c r="U432" s="86"/>
      <c r="V432" s="86"/>
      <c r="W432" s="86"/>
      <c r="X432" s="86"/>
      <c r="Y432" s="86"/>
      <c r="Z432" s="86"/>
      <c r="AA432" s="86"/>
      <c r="AB432" s="86"/>
      <c r="AC432" s="86"/>
      <c r="AD432" s="86"/>
    </row>
    <row r="433" spans="1:30" s="85" customFormat="1" ht="18.75" customHeight="1">
      <c r="A433" s="294"/>
      <c r="B433" s="297" t="s">
        <v>527</v>
      </c>
      <c r="C433" s="294">
        <v>1</v>
      </c>
      <c r="D433" s="294">
        <v>2</v>
      </c>
      <c r="E433" s="294">
        <v>2</v>
      </c>
      <c r="F433" s="300">
        <v>1.5</v>
      </c>
      <c r="G433" s="294">
        <v>0.23</v>
      </c>
      <c r="H433" s="295">
        <v>0.4</v>
      </c>
      <c r="I433" s="298">
        <f>PRODUCT(C433:H433)</f>
        <v>0.55000000000000004</v>
      </c>
      <c r="J433" s="294"/>
      <c r="K433" s="86"/>
      <c r="L433" s="86"/>
      <c r="M433" s="86"/>
      <c r="N433" s="86"/>
      <c r="O433" s="86"/>
      <c r="P433" s="86"/>
      <c r="Q433" s="86"/>
      <c r="R433" s="86"/>
      <c r="S433" s="86"/>
      <c r="T433" s="86"/>
      <c r="U433" s="86"/>
      <c r="V433" s="86"/>
      <c r="W433" s="86"/>
      <c r="X433" s="86"/>
      <c r="Y433" s="86"/>
      <c r="Z433" s="86"/>
      <c r="AA433" s="86"/>
      <c r="AB433" s="86"/>
      <c r="AC433" s="86"/>
      <c r="AD433" s="86"/>
    </row>
    <row r="434" spans="1:30" s="85" customFormat="1" ht="18.75" customHeight="1">
      <c r="A434" s="294"/>
      <c r="B434" s="304" t="s">
        <v>945</v>
      </c>
      <c r="C434" s="294"/>
      <c r="D434" s="294"/>
      <c r="E434" s="294"/>
      <c r="F434" s="300"/>
      <c r="G434" s="294"/>
      <c r="H434" s="295"/>
      <c r="I434" s="298"/>
      <c r="J434" s="294"/>
      <c r="K434" s="86"/>
      <c r="L434" s="86"/>
      <c r="M434" s="86"/>
      <c r="N434" s="86"/>
      <c r="O434" s="86"/>
      <c r="P434" s="86"/>
      <c r="Q434" s="86"/>
      <c r="R434" s="86"/>
      <c r="S434" s="86"/>
      <c r="T434" s="86"/>
      <c r="U434" s="86"/>
      <c r="V434" s="86"/>
      <c r="W434" s="86"/>
      <c r="X434" s="86"/>
      <c r="Y434" s="86"/>
      <c r="Z434" s="86"/>
      <c r="AA434" s="86"/>
      <c r="AB434" s="86"/>
      <c r="AC434" s="86"/>
      <c r="AD434" s="86"/>
    </row>
    <row r="435" spans="1:30" s="85" customFormat="1" ht="18.75" customHeight="1">
      <c r="A435" s="294"/>
      <c r="B435" s="297" t="s">
        <v>865</v>
      </c>
      <c r="C435" s="294">
        <v>1</v>
      </c>
      <c r="D435" s="294">
        <v>1</v>
      </c>
      <c r="E435" s="294">
        <v>1</v>
      </c>
      <c r="F435" s="295">
        <v>3.3</v>
      </c>
      <c r="G435" s="295">
        <v>1.5</v>
      </c>
      <c r="H435" s="294">
        <v>0.15</v>
      </c>
      <c r="I435" s="298">
        <f>PRODUCT(C435:H435)</f>
        <v>0.74</v>
      </c>
      <c r="J435" s="294"/>
      <c r="K435" s="86"/>
      <c r="L435" s="86"/>
      <c r="M435" s="86"/>
      <c r="N435" s="86"/>
      <c r="O435" s="86"/>
      <c r="P435" s="86"/>
      <c r="Q435" s="86"/>
      <c r="R435" s="86"/>
      <c r="S435" s="86"/>
      <c r="T435" s="86"/>
      <c r="U435" s="86"/>
      <c r="V435" s="86"/>
      <c r="W435" s="86"/>
      <c r="X435" s="86"/>
      <c r="Y435" s="86"/>
      <c r="Z435" s="86"/>
      <c r="AA435" s="86"/>
      <c r="AB435" s="86"/>
      <c r="AC435" s="86"/>
      <c r="AD435" s="86"/>
    </row>
    <row r="436" spans="1:30" s="85" customFormat="1" ht="18.75" customHeight="1">
      <c r="A436" s="294"/>
      <c r="B436" s="297" t="s">
        <v>528</v>
      </c>
      <c r="C436" s="294">
        <v>0.5</v>
      </c>
      <c r="D436" s="294">
        <v>20</v>
      </c>
      <c r="E436" s="294">
        <v>1</v>
      </c>
      <c r="F436" s="295">
        <v>1.5</v>
      </c>
      <c r="G436" s="295">
        <v>0.3</v>
      </c>
      <c r="H436" s="294">
        <v>0.15</v>
      </c>
      <c r="I436" s="298">
        <f>PRODUCT(C436:H436)</f>
        <v>0.68</v>
      </c>
      <c r="J436" s="294"/>
      <c r="K436" s="86"/>
      <c r="L436" s="86"/>
      <c r="M436" s="86"/>
      <c r="N436" s="86"/>
      <c r="O436" s="86"/>
      <c r="P436" s="86"/>
      <c r="Q436" s="86"/>
      <c r="R436" s="86"/>
      <c r="S436" s="86"/>
      <c r="T436" s="86"/>
      <c r="U436" s="86"/>
      <c r="V436" s="86"/>
      <c r="W436" s="86"/>
      <c r="X436" s="86"/>
      <c r="Y436" s="86"/>
      <c r="Z436" s="86"/>
      <c r="AA436" s="86"/>
      <c r="AB436" s="86"/>
      <c r="AC436" s="86"/>
      <c r="AD436" s="86"/>
    </row>
    <row r="437" spans="1:30" s="85" customFormat="1" ht="18.75" customHeight="1">
      <c r="A437" s="294"/>
      <c r="B437" s="297" t="s">
        <v>77</v>
      </c>
      <c r="C437" s="294">
        <v>1</v>
      </c>
      <c r="D437" s="294">
        <v>1</v>
      </c>
      <c r="E437" s="294">
        <v>1</v>
      </c>
      <c r="F437" s="295">
        <v>1.5</v>
      </c>
      <c r="G437" s="295">
        <v>3.53</v>
      </c>
      <c r="H437" s="294">
        <v>0.15</v>
      </c>
      <c r="I437" s="298">
        <f>PRODUCT(C437:H437)</f>
        <v>0.79</v>
      </c>
      <c r="J437" s="294"/>
      <c r="K437" s="86"/>
      <c r="L437" s="86"/>
      <c r="M437" s="86"/>
      <c r="N437" s="86"/>
      <c r="O437" s="86"/>
      <c r="P437" s="86"/>
      <c r="Q437" s="86"/>
      <c r="R437" s="86"/>
      <c r="S437" s="86"/>
      <c r="T437" s="86"/>
      <c r="U437" s="86"/>
      <c r="V437" s="86"/>
      <c r="W437" s="86"/>
      <c r="X437" s="86"/>
      <c r="Y437" s="86"/>
      <c r="Z437" s="86"/>
      <c r="AA437" s="86"/>
      <c r="AB437" s="86"/>
      <c r="AC437" s="86"/>
      <c r="AD437" s="86"/>
    </row>
    <row r="438" spans="1:30" s="85" customFormat="1" ht="18.75" customHeight="1">
      <c r="A438" s="294"/>
      <c r="B438" s="297" t="s">
        <v>527</v>
      </c>
      <c r="C438" s="294">
        <v>1</v>
      </c>
      <c r="D438" s="294">
        <v>1</v>
      </c>
      <c r="E438" s="294">
        <v>1</v>
      </c>
      <c r="F438" s="295">
        <v>3.76</v>
      </c>
      <c r="G438" s="294">
        <v>0.23</v>
      </c>
      <c r="H438" s="295">
        <v>0.4</v>
      </c>
      <c r="I438" s="298">
        <f>PRODUCT(C438:H438)</f>
        <v>0.35</v>
      </c>
      <c r="J438" s="294"/>
      <c r="K438" s="86"/>
      <c r="L438" s="86"/>
      <c r="M438" s="86"/>
      <c r="N438" s="86"/>
      <c r="O438" s="86"/>
      <c r="P438" s="86"/>
      <c r="Q438" s="86"/>
      <c r="R438" s="86"/>
      <c r="S438" s="86"/>
      <c r="T438" s="86"/>
      <c r="U438" s="86"/>
      <c r="V438" s="86"/>
      <c r="W438" s="86"/>
      <c r="X438" s="86"/>
      <c r="Y438" s="86"/>
      <c r="Z438" s="86"/>
      <c r="AA438" s="86"/>
      <c r="AB438" s="86"/>
      <c r="AC438" s="86"/>
      <c r="AD438" s="86"/>
    </row>
    <row r="439" spans="1:30" s="85" customFormat="1" ht="18.75" customHeight="1">
      <c r="A439" s="294"/>
      <c r="B439" s="297" t="s">
        <v>527</v>
      </c>
      <c r="C439" s="294">
        <v>1</v>
      </c>
      <c r="D439" s="294">
        <v>2</v>
      </c>
      <c r="E439" s="294">
        <v>1</v>
      </c>
      <c r="F439" s="300">
        <v>1.5</v>
      </c>
      <c r="G439" s="294">
        <v>0.23</v>
      </c>
      <c r="H439" s="295">
        <v>0.4</v>
      </c>
      <c r="I439" s="298">
        <f>PRODUCT(C439:H439)</f>
        <v>0.28000000000000003</v>
      </c>
      <c r="J439" s="294"/>
      <c r="K439" s="86"/>
      <c r="L439" s="86"/>
      <c r="M439" s="86"/>
      <c r="N439" s="86"/>
      <c r="O439" s="86"/>
      <c r="P439" s="86"/>
      <c r="Q439" s="86"/>
      <c r="R439" s="86"/>
      <c r="S439" s="86"/>
      <c r="T439" s="86"/>
      <c r="U439" s="86"/>
      <c r="V439" s="86"/>
      <c r="W439" s="86"/>
      <c r="X439" s="86"/>
      <c r="Y439" s="86"/>
      <c r="Z439" s="86"/>
      <c r="AA439" s="86"/>
      <c r="AB439" s="86"/>
      <c r="AC439" s="86"/>
      <c r="AD439" s="86"/>
    </row>
    <row r="440" spans="1:30" s="120" customFormat="1" ht="21" customHeight="1">
      <c r="A440" s="439"/>
      <c r="B440" s="456" t="s">
        <v>526</v>
      </c>
      <c r="C440" s="457"/>
      <c r="D440" s="457"/>
      <c r="E440" s="457"/>
      <c r="F440" s="458"/>
      <c r="G440" s="457"/>
      <c r="H440" s="457"/>
      <c r="I440" s="459"/>
      <c r="J440" s="439"/>
      <c r="K440" s="122"/>
      <c r="L440" s="122"/>
      <c r="M440" s="122"/>
      <c r="N440" s="121"/>
      <c r="O440" s="121"/>
      <c r="P440" s="121"/>
      <c r="Q440" s="121"/>
      <c r="R440" s="121"/>
      <c r="S440" s="121"/>
      <c r="T440" s="121"/>
      <c r="U440" s="121"/>
      <c r="V440" s="121"/>
      <c r="W440" s="121"/>
      <c r="X440" s="121"/>
      <c r="Y440" s="121"/>
      <c r="Z440" s="121"/>
      <c r="AA440" s="121"/>
      <c r="AB440" s="121"/>
      <c r="AC440" s="121"/>
      <c r="AD440" s="121"/>
    </row>
    <row r="441" spans="1:30" s="407" customFormat="1" ht="21" customHeight="1">
      <c r="A441" s="457"/>
      <c r="B441" s="439" t="s">
        <v>832</v>
      </c>
      <c r="C441" s="457">
        <v>1</v>
      </c>
      <c r="D441" s="457">
        <v>10</v>
      </c>
      <c r="E441" s="457">
        <v>1</v>
      </c>
      <c r="F441" s="458">
        <v>1.96</v>
      </c>
      <c r="G441" s="457">
        <v>0.23</v>
      </c>
      <c r="H441" s="457">
        <v>0.05</v>
      </c>
      <c r="I441" s="459">
        <f t="shared" ref="I441:I447" si="21">C441*D441*E441*F441*G441*H441</f>
        <v>0.23</v>
      </c>
      <c r="J441" s="439"/>
      <c r="K441" s="405"/>
      <c r="L441" s="405"/>
      <c r="M441" s="405"/>
      <c r="N441" s="406">
        <f>1.5+0.46</f>
        <v>1.96</v>
      </c>
      <c r="O441" s="406"/>
      <c r="P441" s="406"/>
      <c r="Q441" s="406"/>
      <c r="R441" s="406"/>
      <c r="S441" s="406"/>
      <c r="T441" s="406"/>
      <c r="U441" s="406"/>
      <c r="V441" s="406"/>
      <c r="W441" s="406"/>
      <c r="X441" s="406"/>
      <c r="Y441" s="406"/>
      <c r="Z441" s="406"/>
      <c r="AA441" s="406"/>
      <c r="AB441" s="406"/>
      <c r="AC441" s="406"/>
      <c r="AD441" s="406"/>
    </row>
    <row r="442" spans="1:30" s="407" customFormat="1" ht="21" customHeight="1">
      <c r="A442" s="457"/>
      <c r="B442" s="439" t="s">
        <v>68</v>
      </c>
      <c r="C442" s="457">
        <v>1</v>
      </c>
      <c r="D442" s="457">
        <v>10</v>
      </c>
      <c r="E442" s="457">
        <v>1</v>
      </c>
      <c r="F442" s="458">
        <v>2.2599999999999998</v>
      </c>
      <c r="G442" s="457">
        <v>0.23</v>
      </c>
      <c r="H442" s="457">
        <v>0.05</v>
      </c>
      <c r="I442" s="459">
        <f t="shared" si="21"/>
        <v>0.26</v>
      </c>
      <c r="J442" s="439"/>
      <c r="K442" s="405"/>
      <c r="L442" s="405"/>
      <c r="M442" s="405"/>
      <c r="N442" s="406">
        <f>1.8+0.46</f>
        <v>2.2599999999999998</v>
      </c>
      <c r="O442" s="406"/>
      <c r="P442" s="406"/>
      <c r="Q442" s="406"/>
      <c r="R442" s="406"/>
      <c r="S442" s="406"/>
      <c r="T442" s="406"/>
      <c r="U442" s="406"/>
      <c r="V442" s="406"/>
      <c r="W442" s="406"/>
      <c r="X442" s="406"/>
      <c r="Y442" s="406"/>
      <c r="Z442" s="406"/>
      <c r="AA442" s="406"/>
      <c r="AB442" s="406"/>
      <c r="AC442" s="406"/>
      <c r="AD442" s="406"/>
    </row>
    <row r="443" spans="1:30" s="407" customFormat="1" ht="21" customHeight="1">
      <c r="A443" s="457"/>
      <c r="B443" s="439" t="s">
        <v>69</v>
      </c>
      <c r="C443" s="457">
        <v>1</v>
      </c>
      <c r="D443" s="457">
        <v>10</v>
      </c>
      <c r="E443" s="457">
        <v>1</v>
      </c>
      <c r="F443" s="458">
        <v>1.96</v>
      </c>
      <c r="G443" s="457">
        <v>0.23</v>
      </c>
      <c r="H443" s="457">
        <v>0.05</v>
      </c>
      <c r="I443" s="459">
        <f t="shared" si="21"/>
        <v>0.23</v>
      </c>
      <c r="J443" s="439"/>
      <c r="K443" s="405"/>
      <c r="L443" s="405"/>
      <c r="M443" s="405"/>
      <c r="N443" s="406">
        <f>1.5+0.46</f>
        <v>1.96</v>
      </c>
      <c r="O443" s="406"/>
      <c r="P443" s="406"/>
      <c r="Q443" s="406"/>
      <c r="R443" s="406"/>
      <c r="S443" s="406"/>
      <c r="T443" s="406"/>
      <c r="U443" s="406"/>
      <c r="V443" s="406"/>
      <c r="W443" s="406"/>
      <c r="X443" s="406"/>
      <c r="Y443" s="406"/>
      <c r="Z443" s="406"/>
      <c r="AA443" s="406"/>
      <c r="AB443" s="406"/>
      <c r="AC443" s="406"/>
      <c r="AD443" s="406"/>
    </row>
    <row r="444" spans="1:30" s="407" customFormat="1" ht="21" customHeight="1">
      <c r="A444" s="457"/>
      <c r="B444" s="439" t="s">
        <v>678</v>
      </c>
      <c r="C444" s="457">
        <v>1</v>
      </c>
      <c r="D444" s="457">
        <v>2</v>
      </c>
      <c r="E444" s="457">
        <v>1</v>
      </c>
      <c r="F444" s="458">
        <v>2.2599999999999998</v>
      </c>
      <c r="G444" s="457">
        <v>0.23</v>
      </c>
      <c r="H444" s="457">
        <v>0.05</v>
      </c>
      <c r="I444" s="459">
        <f t="shared" si="21"/>
        <v>0.05</v>
      </c>
      <c r="J444" s="439"/>
      <c r="K444" s="405"/>
      <c r="L444" s="405"/>
      <c r="M444" s="405"/>
      <c r="N444" s="406">
        <f>1.8+0.46</f>
        <v>2.2599999999999998</v>
      </c>
      <c r="O444" s="406"/>
      <c r="P444" s="406"/>
      <c r="Q444" s="406"/>
      <c r="R444" s="406"/>
      <c r="S444" s="406"/>
      <c r="T444" s="406"/>
      <c r="U444" s="406"/>
      <c r="V444" s="406"/>
      <c r="W444" s="406"/>
      <c r="X444" s="406"/>
      <c r="Y444" s="406"/>
      <c r="Z444" s="406"/>
      <c r="AA444" s="406"/>
      <c r="AB444" s="406"/>
      <c r="AC444" s="406"/>
      <c r="AD444" s="406"/>
    </row>
    <row r="445" spans="1:30" s="407" customFormat="1" ht="21" customHeight="1">
      <c r="A445" s="457"/>
      <c r="B445" s="439" t="s">
        <v>679</v>
      </c>
      <c r="C445" s="457">
        <v>1</v>
      </c>
      <c r="D445" s="457">
        <v>4</v>
      </c>
      <c r="E445" s="457">
        <v>1</v>
      </c>
      <c r="F445" s="458">
        <v>1.66</v>
      </c>
      <c r="G445" s="457">
        <v>0.23</v>
      </c>
      <c r="H445" s="457">
        <v>0.05</v>
      </c>
      <c r="I445" s="459">
        <f t="shared" si="21"/>
        <v>0.08</v>
      </c>
      <c r="J445" s="439"/>
      <c r="K445" s="405"/>
      <c r="L445" s="405"/>
      <c r="M445" s="405"/>
      <c r="N445" s="406">
        <f>1.2+0.46</f>
        <v>1.66</v>
      </c>
      <c r="O445" s="406"/>
      <c r="P445" s="406"/>
      <c r="Q445" s="406"/>
      <c r="R445" s="406"/>
      <c r="S445" s="406"/>
      <c r="T445" s="406"/>
      <c r="U445" s="406"/>
      <c r="V445" s="406"/>
      <c r="W445" s="406"/>
      <c r="X445" s="406"/>
      <c r="Y445" s="406"/>
      <c r="Z445" s="406"/>
      <c r="AA445" s="406"/>
      <c r="AB445" s="406"/>
      <c r="AC445" s="406"/>
      <c r="AD445" s="406"/>
    </row>
    <row r="446" spans="1:30" s="407" customFormat="1" ht="21" customHeight="1">
      <c r="A446" s="457"/>
      <c r="B446" s="439" t="s">
        <v>91</v>
      </c>
      <c r="C446" s="457">
        <v>1</v>
      </c>
      <c r="D446" s="457">
        <v>10</v>
      </c>
      <c r="E446" s="457">
        <v>1</v>
      </c>
      <c r="F446" s="458">
        <v>1.56</v>
      </c>
      <c r="G446" s="457">
        <v>0.23</v>
      </c>
      <c r="H446" s="457">
        <v>0.05</v>
      </c>
      <c r="I446" s="459">
        <f t="shared" si="21"/>
        <v>0.18</v>
      </c>
      <c r="J446" s="439"/>
      <c r="K446" s="405"/>
      <c r="L446" s="405"/>
      <c r="M446" s="405"/>
      <c r="N446" s="406">
        <f>1.1+0.46</f>
        <v>1.56</v>
      </c>
      <c r="O446" s="406"/>
      <c r="P446" s="406"/>
      <c r="Q446" s="406"/>
      <c r="R446" s="406"/>
      <c r="S446" s="406"/>
      <c r="T446" s="406"/>
      <c r="U446" s="406"/>
      <c r="V446" s="406"/>
      <c r="W446" s="406"/>
      <c r="X446" s="406"/>
      <c r="Y446" s="406"/>
      <c r="Z446" s="406"/>
      <c r="AA446" s="406"/>
      <c r="AB446" s="406"/>
      <c r="AC446" s="406"/>
      <c r="AD446" s="406"/>
    </row>
    <row r="447" spans="1:30" s="366" customFormat="1" ht="21" customHeight="1">
      <c r="A447" s="457"/>
      <c r="B447" s="439" t="s">
        <v>524</v>
      </c>
      <c r="C447" s="457">
        <v>1</v>
      </c>
      <c r="D447" s="457">
        <v>2</v>
      </c>
      <c r="E447" s="457">
        <v>1</v>
      </c>
      <c r="F447" s="458">
        <v>1.21</v>
      </c>
      <c r="G447" s="460">
        <v>0.23</v>
      </c>
      <c r="H447" s="460">
        <v>0.05</v>
      </c>
      <c r="I447" s="459">
        <f t="shared" si="21"/>
        <v>0.03</v>
      </c>
      <c r="J447" s="342"/>
      <c r="K447" s="408"/>
      <c r="L447" s="408"/>
      <c r="M447" s="408"/>
      <c r="N447" s="365">
        <f>0.75+0.46</f>
        <v>1.21</v>
      </c>
      <c r="O447" s="365"/>
      <c r="P447" s="365"/>
      <c r="Q447" s="365"/>
      <c r="R447" s="365"/>
      <c r="S447" s="365"/>
      <c r="T447" s="365"/>
      <c r="U447" s="365"/>
      <c r="V447" s="365"/>
      <c r="W447" s="365"/>
      <c r="X447" s="365"/>
      <c r="Y447" s="365"/>
      <c r="Z447" s="365"/>
      <c r="AA447" s="365"/>
      <c r="AB447" s="365"/>
      <c r="AC447" s="365"/>
      <c r="AD447" s="365"/>
    </row>
    <row r="448" spans="1:30" s="366" customFormat="1" ht="21" customHeight="1">
      <c r="A448" s="457"/>
      <c r="B448" s="456" t="s">
        <v>831</v>
      </c>
      <c r="C448" s="342"/>
      <c r="D448" s="342"/>
      <c r="E448" s="342"/>
      <c r="F448" s="461"/>
      <c r="G448" s="342"/>
      <c r="H448" s="342"/>
      <c r="I448" s="459"/>
      <c r="J448" s="342"/>
      <c r="K448" s="408"/>
      <c r="L448" s="408"/>
      <c r="M448" s="408"/>
      <c r="N448" s="365"/>
      <c r="O448" s="365"/>
      <c r="P448" s="365"/>
      <c r="Q448" s="365"/>
      <c r="R448" s="365"/>
      <c r="S448" s="365"/>
      <c r="T448" s="365"/>
      <c r="U448" s="365"/>
      <c r="V448" s="365"/>
      <c r="W448" s="365"/>
      <c r="X448" s="365"/>
      <c r="Y448" s="365"/>
      <c r="Z448" s="365"/>
      <c r="AA448" s="365"/>
      <c r="AB448" s="365"/>
      <c r="AC448" s="365"/>
      <c r="AD448" s="365"/>
    </row>
    <row r="449" spans="1:30" s="366" customFormat="1" ht="21" customHeight="1">
      <c r="A449" s="457"/>
      <c r="B449" s="342" t="s">
        <v>830</v>
      </c>
      <c r="C449" s="457">
        <v>1</v>
      </c>
      <c r="D449" s="457">
        <v>10</v>
      </c>
      <c r="E449" s="457">
        <v>1</v>
      </c>
      <c r="F449" s="458">
        <v>1.96</v>
      </c>
      <c r="G449" s="457">
        <v>0.23</v>
      </c>
      <c r="H449" s="457">
        <v>0.15</v>
      </c>
      <c r="I449" s="459">
        <f t="shared" ref="I449:I473" si="22">C449*D449*E449*F449*G449*H449</f>
        <v>0.68</v>
      </c>
      <c r="J449" s="342"/>
      <c r="K449" s="408"/>
      <c r="L449" s="408"/>
      <c r="M449" s="408"/>
      <c r="N449" s="365"/>
      <c r="O449" s="365"/>
      <c r="P449" s="365"/>
      <c r="Q449" s="365"/>
      <c r="R449" s="365"/>
      <c r="S449" s="365"/>
      <c r="T449" s="365"/>
      <c r="U449" s="365"/>
      <c r="V449" s="365"/>
      <c r="W449" s="365"/>
      <c r="X449" s="365"/>
      <c r="Y449" s="365"/>
      <c r="Z449" s="365"/>
      <c r="AA449" s="365"/>
      <c r="AB449" s="365"/>
      <c r="AC449" s="365"/>
      <c r="AD449" s="365"/>
    </row>
    <row r="450" spans="1:30" s="366" customFormat="1" ht="21" customHeight="1">
      <c r="A450" s="457"/>
      <c r="B450" s="342" t="s">
        <v>829</v>
      </c>
      <c r="C450" s="457">
        <v>1</v>
      </c>
      <c r="D450" s="457">
        <v>10</v>
      </c>
      <c r="E450" s="457">
        <v>1</v>
      </c>
      <c r="F450" s="458">
        <v>1.96</v>
      </c>
      <c r="G450" s="460">
        <v>0.45</v>
      </c>
      <c r="H450" s="462">
        <v>6.25E-2</v>
      </c>
      <c r="I450" s="459">
        <f t="shared" si="22"/>
        <v>0.55000000000000004</v>
      </c>
      <c r="J450" s="342"/>
      <c r="K450" s="408"/>
      <c r="L450" s="408"/>
      <c r="M450" s="408"/>
      <c r="N450" s="365"/>
      <c r="O450" s="365"/>
      <c r="P450" s="365"/>
      <c r="Q450" s="365"/>
      <c r="R450" s="365"/>
      <c r="S450" s="365"/>
      <c r="T450" s="365"/>
      <c r="U450" s="365"/>
      <c r="V450" s="365"/>
      <c r="W450" s="365"/>
      <c r="X450" s="365"/>
      <c r="Y450" s="365"/>
      <c r="Z450" s="365"/>
      <c r="AA450" s="365"/>
      <c r="AB450" s="365"/>
      <c r="AC450" s="365"/>
      <c r="AD450" s="365"/>
    </row>
    <row r="451" spans="1:30" s="366" customFormat="1" ht="21" customHeight="1">
      <c r="A451" s="457"/>
      <c r="B451" s="342" t="s">
        <v>68</v>
      </c>
      <c r="C451" s="457">
        <v>1</v>
      </c>
      <c r="D451" s="457">
        <v>10</v>
      </c>
      <c r="E451" s="457">
        <v>1</v>
      </c>
      <c r="F451" s="458">
        <v>2.2599999999999998</v>
      </c>
      <c r="G451" s="460">
        <v>0.23</v>
      </c>
      <c r="H451" s="462">
        <v>0.15</v>
      </c>
      <c r="I451" s="459">
        <f t="shared" si="22"/>
        <v>0.78</v>
      </c>
      <c r="J451" s="342"/>
      <c r="K451" s="408"/>
      <c r="L451" s="408"/>
      <c r="M451" s="408"/>
      <c r="N451" s="365"/>
      <c r="O451" s="365"/>
      <c r="P451" s="365"/>
      <c r="Q451" s="365"/>
      <c r="R451" s="365"/>
      <c r="S451" s="365"/>
      <c r="T451" s="365"/>
      <c r="U451" s="365"/>
      <c r="V451" s="365"/>
      <c r="W451" s="365"/>
      <c r="X451" s="365"/>
      <c r="Y451" s="365"/>
      <c r="Z451" s="365"/>
      <c r="AA451" s="365"/>
      <c r="AB451" s="365"/>
      <c r="AC451" s="365"/>
      <c r="AD451" s="365"/>
    </row>
    <row r="452" spans="1:30" s="366" customFormat="1" ht="21" customHeight="1">
      <c r="A452" s="457"/>
      <c r="B452" s="342" t="s">
        <v>828</v>
      </c>
      <c r="C452" s="457">
        <v>1</v>
      </c>
      <c r="D452" s="457">
        <v>10</v>
      </c>
      <c r="E452" s="457">
        <v>1</v>
      </c>
      <c r="F452" s="458">
        <v>2.2599999999999998</v>
      </c>
      <c r="G452" s="460">
        <v>0.45</v>
      </c>
      <c r="H452" s="462">
        <v>6.25E-2</v>
      </c>
      <c r="I452" s="459">
        <f t="shared" si="22"/>
        <v>0.64</v>
      </c>
      <c r="J452" s="342"/>
      <c r="K452" s="408"/>
      <c r="L452" s="408"/>
      <c r="M452" s="408"/>
      <c r="N452" s="365"/>
      <c r="O452" s="365"/>
      <c r="P452" s="365"/>
      <c r="Q452" s="365"/>
      <c r="R452" s="365"/>
      <c r="S452" s="365"/>
      <c r="T452" s="365"/>
      <c r="U452" s="365"/>
      <c r="V452" s="365"/>
      <c r="W452" s="365"/>
      <c r="X452" s="365"/>
      <c r="Y452" s="365"/>
      <c r="Z452" s="365"/>
      <c r="AA452" s="365"/>
      <c r="AB452" s="365"/>
      <c r="AC452" s="365"/>
      <c r="AD452" s="365"/>
    </row>
    <row r="453" spans="1:30" s="366" customFormat="1" ht="21" customHeight="1">
      <c r="A453" s="457"/>
      <c r="B453" s="439" t="s">
        <v>678</v>
      </c>
      <c r="C453" s="457">
        <v>1</v>
      </c>
      <c r="D453" s="457">
        <v>2</v>
      </c>
      <c r="E453" s="457">
        <v>1</v>
      </c>
      <c r="F453" s="458">
        <v>2.2599999999999998</v>
      </c>
      <c r="G453" s="457">
        <v>0.23</v>
      </c>
      <c r="H453" s="462">
        <v>0.15</v>
      </c>
      <c r="I453" s="459">
        <f t="shared" si="22"/>
        <v>0.16</v>
      </c>
      <c r="J453" s="342"/>
      <c r="K453" s="408"/>
      <c r="L453" s="408"/>
      <c r="M453" s="408"/>
      <c r="N453" s="365"/>
      <c r="O453" s="365"/>
      <c r="P453" s="365"/>
      <c r="Q453" s="365"/>
      <c r="R453" s="365"/>
      <c r="S453" s="365"/>
      <c r="T453" s="365"/>
      <c r="U453" s="365"/>
      <c r="V453" s="365"/>
      <c r="W453" s="365"/>
      <c r="X453" s="365"/>
      <c r="Y453" s="365"/>
      <c r="Z453" s="365"/>
      <c r="AA453" s="365"/>
      <c r="AB453" s="365"/>
      <c r="AC453" s="365"/>
      <c r="AD453" s="365"/>
    </row>
    <row r="454" spans="1:30" s="366" customFormat="1" ht="21" customHeight="1">
      <c r="A454" s="457"/>
      <c r="B454" s="439" t="s">
        <v>827</v>
      </c>
      <c r="C454" s="457">
        <v>1</v>
      </c>
      <c r="D454" s="457">
        <v>2</v>
      </c>
      <c r="E454" s="457">
        <v>1</v>
      </c>
      <c r="F454" s="458">
        <v>2.2599999999999998</v>
      </c>
      <c r="G454" s="460">
        <v>0.45</v>
      </c>
      <c r="H454" s="462">
        <v>6.25E-2</v>
      </c>
      <c r="I454" s="459">
        <f t="shared" si="22"/>
        <v>0.13</v>
      </c>
      <c r="J454" s="342"/>
      <c r="K454" s="408"/>
      <c r="L454" s="408"/>
      <c r="M454" s="408"/>
      <c r="N454" s="365"/>
      <c r="O454" s="365"/>
      <c r="P454" s="365"/>
      <c r="Q454" s="365"/>
      <c r="R454" s="365"/>
      <c r="S454" s="365"/>
      <c r="T454" s="365"/>
      <c r="U454" s="365"/>
      <c r="V454" s="365"/>
      <c r="W454" s="365"/>
      <c r="X454" s="365"/>
      <c r="Y454" s="365"/>
      <c r="Z454" s="365"/>
      <c r="AA454" s="365"/>
      <c r="AB454" s="365"/>
      <c r="AC454" s="365"/>
      <c r="AD454" s="365"/>
    </row>
    <row r="455" spans="1:30" s="366" customFormat="1" ht="21" customHeight="1">
      <c r="A455" s="457"/>
      <c r="B455" s="439" t="s">
        <v>679</v>
      </c>
      <c r="C455" s="457">
        <v>1</v>
      </c>
      <c r="D455" s="457">
        <v>4</v>
      </c>
      <c r="E455" s="457">
        <v>1</v>
      </c>
      <c r="F455" s="458">
        <v>1.66</v>
      </c>
      <c r="G455" s="460">
        <v>0.23</v>
      </c>
      <c r="H455" s="462">
        <v>0.15</v>
      </c>
      <c r="I455" s="459">
        <f t="shared" si="22"/>
        <v>0.23</v>
      </c>
      <c r="J455" s="342"/>
      <c r="K455" s="408"/>
      <c r="L455" s="408"/>
      <c r="M455" s="408"/>
      <c r="N455" s="365"/>
      <c r="O455" s="365"/>
      <c r="P455" s="365"/>
      <c r="Q455" s="365"/>
      <c r="R455" s="365"/>
      <c r="S455" s="365"/>
      <c r="T455" s="365"/>
      <c r="U455" s="365"/>
      <c r="V455" s="365"/>
      <c r="W455" s="365"/>
      <c r="X455" s="365"/>
      <c r="Y455" s="365"/>
      <c r="Z455" s="365"/>
      <c r="AA455" s="365"/>
      <c r="AB455" s="365"/>
      <c r="AC455" s="365"/>
      <c r="AD455" s="365"/>
    </row>
    <row r="456" spans="1:30" s="366" customFormat="1" ht="21" customHeight="1">
      <c r="A456" s="457"/>
      <c r="B456" s="439" t="s">
        <v>826</v>
      </c>
      <c r="C456" s="457">
        <v>1</v>
      </c>
      <c r="D456" s="457">
        <v>4</v>
      </c>
      <c r="E456" s="457">
        <v>1</v>
      </c>
      <c r="F456" s="458">
        <v>1.66</v>
      </c>
      <c r="G456" s="460">
        <v>0.45</v>
      </c>
      <c r="H456" s="462">
        <v>6.25E-2</v>
      </c>
      <c r="I456" s="459">
        <f t="shared" si="22"/>
        <v>0.19</v>
      </c>
      <c r="J456" s="342"/>
      <c r="K456" s="408"/>
      <c r="L456" s="408"/>
      <c r="M456" s="408"/>
      <c r="N456" s="365"/>
      <c r="O456" s="365"/>
      <c r="P456" s="365"/>
      <c r="Q456" s="365"/>
      <c r="R456" s="365"/>
      <c r="S456" s="365"/>
      <c r="T456" s="365"/>
      <c r="U456" s="365"/>
      <c r="V456" s="365"/>
      <c r="W456" s="365"/>
      <c r="X456" s="365"/>
      <c r="Y456" s="365"/>
      <c r="Z456" s="365"/>
      <c r="AA456" s="365"/>
      <c r="AB456" s="365"/>
      <c r="AC456" s="365"/>
      <c r="AD456" s="365"/>
    </row>
    <row r="457" spans="1:30" s="115" customFormat="1" ht="21" customHeight="1">
      <c r="A457" s="457"/>
      <c r="B457" s="439" t="s">
        <v>825</v>
      </c>
      <c r="C457" s="457">
        <v>1</v>
      </c>
      <c r="D457" s="457">
        <v>10</v>
      </c>
      <c r="E457" s="457">
        <v>1</v>
      </c>
      <c r="F457" s="458">
        <v>1.46</v>
      </c>
      <c r="G457" s="460">
        <v>0.23</v>
      </c>
      <c r="H457" s="462">
        <v>0.15</v>
      </c>
      <c r="I457" s="459">
        <f t="shared" si="22"/>
        <v>0.5</v>
      </c>
      <c r="J457" s="342"/>
      <c r="K457" s="119"/>
      <c r="L457" s="119"/>
      <c r="M457" s="119"/>
      <c r="N457" s="116"/>
      <c r="O457" s="116"/>
      <c r="P457" s="116"/>
      <c r="Q457" s="116"/>
      <c r="R457" s="116"/>
      <c r="S457" s="116"/>
      <c r="T457" s="116"/>
      <c r="U457" s="116"/>
      <c r="V457" s="116"/>
      <c r="W457" s="116"/>
      <c r="X457" s="116"/>
      <c r="Y457" s="116"/>
      <c r="Z457" s="116"/>
      <c r="AA457" s="116"/>
      <c r="AB457" s="116"/>
      <c r="AC457" s="116"/>
      <c r="AD457" s="116"/>
    </row>
    <row r="458" spans="1:30" s="115" customFormat="1" ht="21" customHeight="1">
      <c r="A458" s="457"/>
      <c r="B458" s="439" t="s">
        <v>824</v>
      </c>
      <c r="C458" s="457">
        <v>1</v>
      </c>
      <c r="D458" s="457">
        <v>10</v>
      </c>
      <c r="E458" s="457">
        <v>1</v>
      </c>
      <c r="F458" s="458">
        <v>1.46</v>
      </c>
      <c r="G458" s="460">
        <v>0.23</v>
      </c>
      <c r="H458" s="462">
        <v>0.15</v>
      </c>
      <c r="I458" s="459">
        <f t="shared" si="22"/>
        <v>0.5</v>
      </c>
      <c r="J458" s="342"/>
      <c r="K458" s="119"/>
      <c r="L458" s="119"/>
      <c r="M458" s="119"/>
      <c r="N458" s="116"/>
      <c r="O458" s="116"/>
      <c r="P458" s="116"/>
      <c r="Q458" s="116"/>
      <c r="R458" s="116"/>
      <c r="S458" s="116"/>
      <c r="T458" s="116"/>
      <c r="U458" s="116"/>
      <c r="V458" s="116"/>
      <c r="W458" s="116"/>
      <c r="X458" s="116"/>
      <c r="Y458" s="116"/>
      <c r="Z458" s="116"/>
      <c r="AA458" s="116"/>
      <c r="AB458" s="116"/>
      <c r="AC458" s="116"/>
      <c r="AD458" s="116"/>
    </row>
    <row r="459" spans="1:30" s="115" customFormat="1" ht="21" customHeight="1">
      <c r="A459" s="457"/>
      <c r="B459" s="439" t="s">
        <v>66</v>
      </c>
      <c r="C459" s="457">
        <v>1</v>
      </c>
      <c r="D459" s="457">
        <v>10</v>
      </c>
      <c r="E459" s="457">
        <v>2</v>
      </c>
      <c r="F459" s="458">
        <v>1.36</v>
      </c>
      <c r="G459" s="460">
        <v>0.23</v>
      </c>
      <c r="H459" s="462">
        <v>0.15</v>
      </c>
      <c r="I459" s="459">
        <f t="shared" si="22"/>
        <v>0.94</v>
      </c>
      <c r="J459" s="342"/>
      <c r="K459" s="119"/>
      <c r="L459" s="119"/>
      <c r="M459" s="119"/>
      <c r="N459" s="116">
        <f>0.9+0.46</f>
        <v>1.36</v>
      </c>
      <c r="O459" s="116"/>
      <c r="P459" s="116"/>
      <c r="Q459" s="116"/>
      <c r="R459" s="116"/>
      <c r="S459" s="116"/>
      <c r="T459" s="116"/>
      <c r="U459" s="116"/>
      <c r="V459" s="116"/>
      <c r="W459" s="116"/>
      <c r="X459" s="116"/>
      <c r="Y459" s="116"/>
      <c r="Z459" s="116"/>
      <c r="AA459" s="116"/>
      <c r="AB459" s="116"/>
      <c r="AC459" s="116"/>
      <c r="AD459" s="116"/>
    </row>
    <row r="460" spans="1:30" s="115" customFormat="1" ht="21" customHeight="1">
      <c r="A460" s="457"/>
      <c r="B460" s="439" t="s">
        <v>67</v>
      </c>
      <c r="C460" s="457">
        <v>1</v>
      </c>
      <c r="D460" s="457">
        <v>10</v>
      </c>
      <c r="E460" s="457">
        <v>1</v>
      </c>
      <c r="F460" s="458">
        <v>1.21</v>
      </c>
      <c r="G460" s="460">
        <v>0.23</v>
      </c>
      <c r="H460" s="462">
        <v>0.15</v>
      </c>
      <c r="I460" s="459">
        <f t="shared" si="22"/>
        <v>0.42</v>
      </c>
      <c r="J460" s="342"/>
      <c r="K460" s="119"/>
      <c r="L460" s="119"/>
      <c r="M460" s="119"/>
      <c r="N460" s="116">
        <f>0.75+0.46</f>
        <v>1.21</v>
      </c>
      <c r="O460" s="116"/>
      <c r="P460" s="116"/>
      <c r="Q460" s="116"/>
      <c r="R460" s="116"/>
      <c r="S460" s="116"/>
      <c r="T460" s="116"/>
      <c r="U460" s="116"/>
      <c r="V460" s="116"/>
      <c r="W460" s="116"/>
      <c r="X460" s="116"/>
      <c r="Y460" s="116"/>
      <c r="Z460" s="116"/>
      <c r="AA460" s="116"/>
      <c r="AB460" s="116"/>
      <c r="AC460" s="116"/>
      <c r="AD460" s="116"/>
    </row>
    <row r="461" spans="1:30" s="115" customFormat="1" ht="21" customHeight="1">
      <c r="A461" s="457"/>
      <c r="B461" s="439" t="s">
        <v>823</v>
      </c>
      <c r="C461" s="457">
        <v>1</v>
      </c>
      <c r="D461" s="457">
        <v>10</v>
      </c>
      <c r="E461" s="457">
        <v>1</v>
      </c>
      <c r="F461" s="458">
        <v>1.2</v>
      </c>
      <c r="G461" s="460">
        <v>0.23</v>
      </c>
      <c r="H461" s="462">
        <v>0.15</v>
      </c>
      <c r="I461" s="459">
        <f t="shared" si="22"/>
        <v>0.41</v>
      </c>
      <c r="J461" s="342"/>
      <c r="K461" s="119"/>
      <c r="L461" s="119"/>
      <c r="M461" s="119"/>
      <c r="N461" s="116"/>
      <c r="O461" s="116"/>
      <c r="P461" s="116"/>
      <c r="Q461" s="116"/>
      <c r="R461" s="116"/>
      <c r="S461" s="116"/>
      <c r="T461" s="116"/>
      <c r="U461" s="116"/>
      <c r="V461" s="116"/>
      <c r="W461" s="116"/>
      <c r="X461" s="116"/>
      <c r="Y461" s="116"/>
      <c r="Z461" s="116"/>
      <c r="AA461" s="116"/>
      <c r="AB461" s="116"/>
      <c r="AC461" s="116"/>
      <c r="AD461" s="116"/>
    </row>
    <row r="462" spans="1:30" s="115" customFormat="1" ht="21" customHeight="1">
      <c r="A462" s="457"/>
      <c r="B462" s="439" t="s">
        <v>525</v>
      </c>
      <c r="C462" s="457">
        <v>1</v>
      </c>
      <c r="D462" s="457">
        <v>2</v>
      </c>
      <c r="E462" s="457">
        <v>1</v>
      </c>
      <c r="F462" s="458">
        <v>1.46</v>
      </c>
      <c r="G462" s="460">
        <v>0.23</v>
      </c>
      <c r="H462" s="462">
        <v>0.15</v>
      </c>
      <c r="I462" s="459">
        <f t="shared" si="22"/>
        <v>0.1</v>
      </c>
      <c r="J462" s="342"/>
      <c r="K462" s="119"/>
      <c r="L462" s="119"/>
      <c r="M462" s="119"/>
      <c r="N462" s="116"/>
      <c r="O462" s="116"/>
      <c r="P462" s="116"/>
      <c r="Q462" s="116"/>
      <c r="R462" s="116"/>
      <c r="S462" s="116"/>
      <c r="T462" s="116"/>
      <c r="U462" s="116"/>
      <c r="V462" s="116"/>
      <c r="W462" s="116"/>
      <c r="X462" s="116"/>
      <c r="Y462" s="116"/>
      <c r="Z462" s="116"/>
      <c r="AA462" s="116"/>
      <c r="AB462" s="116"/>
      <c r="AC462" s="116"/>
      <c r="AD462" s="116"/>
    </row>
    <row r="463" spans="1:30" s="115" customFormat="1" ht="21" customHeight="1">
      <c r="A463" s="457"/>
      <c r="B463" s="439" t="s">
        <v>524</v>
      </c>
      <c r="C463" s="457">
        <v>1</v>
      </c>
      <c r="D463" s="457">
        <v>2</v>
      </c>
      <c r="E463" s="457">
        <v>1</v>
      </c>
      <c r="F463" s="458">
        <v>1.21</v>
      </c>
      <c r="G463" s="460">
        <v>0.23</v>
      </c>
      <c r="H463" s="462">
        <v>0.15</v>
      </c>
      <c r="I463" s="459">
        <f t="shared" si="22"/>
        <v>0.08</v>
      </c>
      <c r="J463" s="342"/>
      <c r="K463" s="119"/>
      <c r="L463" s="119"/>
      <c r="M463" s="119"/>
      <c r="N463" s="116">
        <f>0.75+0.46</f>
        <v>1.21</v>
      </c>
      <c r="O463" s="116"/>
      <c r="P463" s="116"/>
      <c r="Q463" s="116"/>
      <c r="R463" s="116"/>
      <c r="S463" s="116"/>
      <c r="T463" s="116"/>
      <c r="U463" s="116"/>
      <c r="V463" s="116"/>
      <c r="W463" s="116"/>
      <c r="X463" s="116"/>
      <c r="Y463" s="116"/>
      <c r="Z463" s="116"/>
      <c r="AA463" s="116"/>
      <c r="AB463" s="116"/>
      <c r="AC463" s="116"/>
      <c r="AD463" s="116"/>
    </row>
    <row r="464" spans="1:30" s="115" customFormat="1" ht="21" customHeight="1">
      <c r="A464" s="457"/>
      <c r="B464" s="439" t="s">
        <v>822</v>
      </c>
      <c r="C464" s="457">
        <v>1</v>
      </c>
      <c r="D464" s="457">
        <v>10</v>
      </c>
      <c r="E464" s="457">
        <v>2</v>
      </c>
      <c r="F464" s="458">
        <v>3.5</v>
      </c>
      <c r="G464" s="458">
        <v>0.115</v>
      </c>
      <c r="H464" s="462">
        <v>0.15</v>
      </c>
      <c r="I464" s="459">
        <f t="shared" si="22"/>
        <v>1.21</v>
      </c>
      <c r="J464" s="342"/>
      <c r="K464" s="119"/>
      <c r="L464" s="119"/>
      <c r="M464" s="119"/>
      <c r="N464" s="116"/>
      <c r="O464" s="116"/>
      <c r="P464" s="116"/>
      <c r="Q464" s="116"/>
      <c r="R464" s="116"/>
      <c r="S464" s="116"/>
      <c r="T464" s="116"/>
      <c r="U464" s="116"/>
      <c r="V464" s="116"/>
      <c r="W464" s="116"/>
      <c r="X464" s="116"/>
      <c r="Y464" s="116"/>
      <c r="Z464" s="116"/>
      <c r="AA464" s="116"/>
      <c r="AB464" s="116"/>
      <c r="AC464" s="116"/>
      <c r="AD464" s="116"/>
    </row>
    <row r="465" spans="1:30" s="115" customFormat="1" ht="21" customHeight="1">
      <c r="A465" s="457"/>
      <c r="B465" s="439" t="s">
        <v>821</v>
      </c>
      <c r="C465" s="457">
        <v>1</v>
      </c>
      <c r="D465" s="457">
        <v>10</v>
      </c>
      <c r="E465" s="457">
        <v>2</v>
      </c>
      <c r="F465" s="458">
        <v>2.8</v>
      </c>
      <c r="G465" s="458">
        <v>0.115</v>
      </c>
      <c r="H465" s="462">
        <v>0.15</v>
      </c>
      <c r="I465" s="459">
        <f t="shared" si="22"/>
        <v>0.97</v>
      </c>
      <c r="J465" s="342"/>
      <c r="K465" s="119"/>
      <c r="L465" s="119"/>
      <c r="M465" s="119"/>
      <c r="N465" s="116"/>
      <c r="O465" s="116"/>
      <c r="P465" s="116"/>
      <c r="Q465" s="116"/>
      <c r="R465" s="116"/>
      <c r="S465" s="116"/>
      <c r="T465" s="116"/>
      <c r="U465" s="116"/>
      <c r="V465" s="116"/>
      <c r="W465" s="116"/>
      <c r="X465" s="116"/>
      <c r="Y465" s="116"/>
      <c r="Z465" s="116"/>
      <c r="AA465" s="116"/>
      <c r="AB465" s="116"/>
      <c r="AC465" s="116"/>
      <c r="AD465" s="116"/>
    </row>
    <row r="466" spans="1:30" s="115" customFormat="1" ht="21" customHeight="1">
      <c r="A466" s="457"/>
      <c r="B466" s="439" t="s">
        <v>820</v>
      </c>
      <c r="C466" s="457">
        <v>1</v>
      </c>
      <c r="D466" s="457">
        <v>10</v>
      </c>
      <c r="E466" s="457">
        <v>1</v>
      </c>
      <c r="F466" s="458">
        <v>3.5</v>
      </c>
      <c r="G466" s="458">
        <v>0.115</v>
      </c>
      <c r="H466" s="462">
        <v>0.15</v>
      </c>
      <c r="I466" s="459">
        <f t="shared" si="22"/>
        <v>0.6</v>
      </c>
      <c r="J466" s="342"/>
      <c r="K466" s="119"/>
      <c r="L466" s="119"/>
      <c r="M466" s="119"/>
      <c r="N466" s="116"/>
      <c r="O466" s="116"/>
      <c r="P466" s="116"/>
      <c r="Q466" s="116"/>
      <c r="R466" s="116"/>
      <c r="S466" s="116"/>
      <c r="T466" s="116"/>
      <c r="U466" s="116"/>
      <c r="V466" s="116"/>
      <c r="W466" s="116"/>
      <c r="X466" s="116"/>
      <c r="Y466" s="116"/>
      <c r="Z466" s="116"/>
      <c r="AA466" s="116"/>
      <c r="AB466" s="116"/>
      <c r="AC466" s="116"/>
      <c r="AD466" s="116"/>
    </row>
    <row r="467" spans="1:30" s="115" customFormat="1" ht="21" customHeight="1">
      <c r="A467" s="457"/>
      <c r="B467" s="342" t="s">
        <v>819</v>
      </c>
      <c r="C467" s="457">
        <v>1</v>
      </c>
      <c r="D467" s="457">
        <v>10</v>
      </c>
      <c r="E467" s="457">
        <v>1</v>
      </c>
      <c r="F467" s="458">
        <v>1.2</v>
      </c>
      <c r="G467" s="458">
        <v>0.115</v>
      </c>
      <c r="H467" s="462">
        <v>0.15</v>
      </c>
      <c r="I467" s="459">
        <f t="shared" si="22"/>
        <v>0.21</v>
      </c>
      <c r="J467" s="342"/>
      <c r="K467" s="119"/>
      <c r="L467" s="119"/>
      <c r="M467" s="119"/>
      <c r="N467" s="116"/>
      <c r="O467" s="116"/>
      <c r="P467" s="116"/>
      <c r="Q467" s="116"/>
      <c r="R467" s="116"/>
      <c r="S467" s="116"/>
      <c r="T467" s="116"/>
      <c r="U467" s="116"/>
      <c r="V467" s="116"/>
      <c r="W467" s="116"/>
      <c r="X467" s="116"/>
      <c r="Y467" s="116"/>
      <c r="Z467" s="116"/>
      <c r="AA467" s="116"/>
      <c r="AB467" s="116"/>
      <c r="AC467" s="116"/>
      <c r="AD467" s="116"/>
    </row>
    <row r="468" spans="1:30" s="115" customFormat="1" ht="21" customHeight="1">
      <c r="A468" s="457"/>
      <c r="B468" s="342" t="s">
        <v>818</v>
      </c>
      <c r="C468" s="457">
        <v>1</v>
      </c>
      <c r="D468" s="457">
        <v>10</v>
      </c>
      <c r="E468" s="457">
        <v>1</v>
      </c>
      <c r="F468" s="458">
        <v>3.85</v>
      </c>
      <c r="G468" s="458">
        <v>0.6</v>
      </c>
      <c r="H468" s="462">
        <v>0.1</v>
      </c>
      <c r="I468" s="459">
        <f t="shared" si="22"/>
        <v>2.31</v>
      </c>
      <c r="J468" s="342"/>
      <c r="K468" s="119"/>
      <c r="L468" s="119"/>
      <c r="M468" s="119"/>
      <c r="N468" s="116">
        <f>2.8+2.4</f>
        <v>5.2</v>
      </c>
      <c r="O468" s="116"/>
      <c r="P468" s="116"/>
      <c r="Q468" s="116"/>
      <c r="R468" s="116"/>
      <c r="S468" s="116"/>
      <c r="T468" s="116"/>
      <c r="U468" s="116"/>
      <c r="V468" s="116"/>
      <c r="W468" s="116"/>
      <c r="X468" s="116"/>
      <c r="Y468" s="116"/>
      <c r="Z468" s="116"/>
      <c r="AA468" s="116"/>
      <c r="AB468" s="116"/>
      <c r="AC468" s="116"/>
      <c r="AD468" s="116"/>
    </row>
    <row r="469" spans="1:30" s="115" customFormat="1" ht="21" customHeight="1">
      <c r="A469" s="457"/>
      <c r="B469" s="342" t="s">
        <v>523</v>
      </c>
      <c r="C469" s="457">
        <v>1</v>
      </c>
      <c r="D469" s="457">
        <v>10</v>
      </c>
      <c r="E469" s="457">
        <v>2</v>
      </c>
      <c r="F469" s="458">
        <v>0.6</v>
      </c>
      <c r="G469" s="458">
        <v>0.6</v>
      </c>
      <c r="H469" s="462">
        <v>0.1</v>
      </c>
      <c r="I469" s="459">
        <f t="shared" si="22"/>
        <v>0.72</v>
      </c>
      <c r="J469" s="342"/>
      <c r="K469" s="119"/>
      <c r="L469" s="119"/>
      <c r="M469" s="119"/>
      <c r="N469" s="116"/>
      <c r="O469" s="116"/>
      <c r="P469" s="116"/>
      <c r="Q469" s="116"/>
      <c r="R469" s="116"/>
      <c r="S469" s="116"/>
      <c r="T469" s="116"/>
      <c r="U469" s="116"/>
      <c r="V469" s="116"/>
      <c r="W469" s="116"/>
      <c r="X469" s="116"/>
      <c r="Y469" s="116"/>
      <c r="Z469" s="116"/>
      <c r="AA469" s="116"/>
      <c r="AB469" s="116"/>
      <c r="AC469" s="116"/>
      <c r="AD469" s="116"/>
    </row>
    <row r="470" spans="1:30" s="115" customFormat="1" ht="21" customHeight="1">
      <c r="A470" s="457"/>
      <c r="B470" s="342" t="s">
        <v>817</v>
      </c>
      <c r="C470" s="457">
        <v>1</v>
      </c>
      <c r="D470" s="457">
        <v>10</v>
      </c>
      <c r="E470" s="457">
        <v>1</v>
      </c>
      <c r="F470" s="458">
        <v>3.35</v>
      </c>
      <c r="G470" s="458">
        <v>0.45</v>
      </c>
      <c r="H470" s="462">
        <v>0.05</v>
      </c>
      <c r="I470" s="459">
        <f t="shared" si="22"/>
        <v>0.75</v>
      </c>
      <c r="J470" s="342"/>
      <c r="K470" s="119"/>
      <c r="L470" s="119"/>
      <c r="M470" s="119"/>
      <c r="N470" s="116"/>
      <c r="O470" s="116"/>
      <c r="P470" s="116"/>
      <c r="Q470" s="116"/>
      <c r="R470" s="116"/>
      <c r="S470" s="116"/>
      <c r="T470" s="116"/>
      <c r="U470" s="116"/>
      <c r="V470" s="116"/>
      <c r="W470" s="116"/>
      <c r="X470" s="116"/>
      <c r="Y470" s="116"/>
      <c r="Z470" s="116"/>
      <c r="AA470" s="116"/>
      <c r="AB470" s="116"/>
      <c r="AC470" s="116"/>
      <c r="AD470" s="116"/>
    </row>
    <row r="471" spans="1:30" s="115" customFormat="1" ht="21" customHeight="1">
      <c r="A471" s="457"/>
      <c r="B471" s="342" t="s">
        <v>816</v>
      </c>
      <c r="C471" s="457">
        <v>1</v>
      </c>
      <c r="D471" s="457">
        <v>10</v>
      </c>
      <c r="E471" s="457">
        <v>1</v>
      </c>
      <c r="F471" s="458">
        <v>3.35</v>
      </c>
      <c r="G471" s="458">
        <v>0.6</v>
      </c>
      <c r="H471" s="462">
        <v>0.05</v>
      </c>
      <c r="I471" s="459">
        <f t="shared" si="22"/>
        <v>1.01</v>
      </c>
      <c r="J471" s="342"/>
      <c r="K471" s="119"/>
      <c r="L471" s="119"/>
      <c r="M471" s="119"/>
      <c r="N471" s="116"/>
      <c r="O471" s="116"/>
      <c r="P471" s="116"/>
      <c r="Q471" s="116"/>
      <c r="R471" s="116"/>
      <c r="S471" s="116"/>
      <c r="T471" s="116"/>
      <c r="U471" s="116"/>
      <c r="V471" s="116"/>
      <c r="W471" s="116"/>
      <c r="X471" s="116"/>
      <c r="Y471" s="116"/>
      <c r="Z471" s="116"/>
      <c r="AA471" s="116"/>
      <c r="AB471" s="116"/>
      <c r="AC471" s="116"/>
      <c r="AD471" s="116"/>
    </row>
    <row r="472" spans="1:30" s="115" customFormat="1" ht="21" customHeight="1">
      <c r="A472" s="457"/>
      <c r="B472" s="342" t="s">
        <v>815</v>
      </c>
      <c r="C472" s="457">
        <v>1</v>
      </c>
      <c r="D472" s="457">
        <v>10</v>
      </c>
      <c r="E472" s="457">
        <v>1</v>
      </c>
      <c r="F472" s="458">
        <v>3.35</v>
      </c>
      <c r="G472" s="458">
        <v>0.6</v>
      </c>
      <c r="H472" s="462">
        <v>0.05</v>
      </c>
      <c r="I472" s="459">
        <f t="shared" si="22"/>
        <v>1.01</v>
      </c>
      <c r="J472" s="342"/>
      <c r="K472" s="119"/>
      <c r="L472" s="119"/>
      <c r="M472" s="119"/>
      <c r="N472" s="116"/>
      <c r="O472" s="116"/>
      <c r="P472" s="116"/>
      <c r="Q472" s="116"/>
      <c r="R472" s="116"/>
      <c r="S472" s="116"/>
      <c r="T472" s="116"/>
      <c r="U472" s="116"/>
      <c r="V472" s="116"/>
      <c r="W472" s="116"/>
      <c r="X472" s="116"/>
      <c r="Y472" s="116"/>
      <c r="Z472" s="116"/>
      <c r="AA472" s="116"/>
      <c r="AB472" s="116"/>
      <c r="AC472" s="116"/>
      <c r="AD472" s="116"/>
    </row>
    <row r="473" spans="1:30" s="115" customFormat="1" ht="21" customHeight="1">
      <c r="A473" s="457"/>
      <c r="B473" s="342" t="s">
        <v>814</v>
      </c>
      <c r="C473" s="457">
        <v>1</v>
      </c>
      <c r="D473" s="457">
        <v>10</v>
      </c>
      <c r="E473" s="457">
        <v>1</v>
      </c>
      <c r="F473" s="458">
        <v>5.2</v>
      </c>
      <c r="G473" s="458">
        <v>0.6</v>
      </c>
      <c r="H473" s="462">
        <v>0.05</v>
      </c>
      <c r="I473" s="459">
        <f t="shared" si="22"/>
        <v>1.56</v>
      </c>
      <c r="J473" s="342"/>
      <c r="K473" s="119"/>
      <c r="L473" s="119"/>
      <c r="M473" s="119"/>
      <c r="N473" s="116">
        <f>2.8+2.4</f>
        <v>5.2</v>
      </c>
      <c r="O473" s="116"/>
      <c r="P473" s="116"/>
      <c r="Q473" s="116"/>
      <c r="R473" s="116"/>
      <c r="S473" s="116"/>
      <c r="T473" s="116"/>
      <c r="U473" s="116"/>
      <c r="V473" s="116"/>
      <c r="W473" s="116"/>
      <c r="X473" s="116"/>
      <c r="Y473" s="116"/>
      <c r="Z473" s="116"/>
      <c r="AA473" s="116"/>
      <c r="AB473" s="116"/>
      <c r="AC473" s="116"/>
      <c r="AD473" s="116"/>
    </row>
    <row r="474" spans="1:30" s="115" customFormat="1" ht="18.75" customHeight="1">
      <c r="A474" s="438"/>
      <c r="B474" s="306" t="s">
        <v>813</v>
      </c>
      <c r="C474" s="306"/>
      <c r="D474" s="306"/>
      <c r="E474" s="306"/>
      <c r="F474" s="307"/>
      <c r="G474" s="308"/>
      <c r="H474" s="308"/>
      <c r="I474" s="323"/>
      <c r="J474" s="307"/>
      <c r="K474" s="117"/>
      <c r="L474" s="117"/>
      <c r="M474" s="117"/>
      <c r="N474" s="116"/>
      <c r="O474" s="116"/>
      <c r="P474" s="116"/>
      <c r="Q474" s="116"/>
      <c r="R474" s="116"/>
      <c r="S474" s="116"/>
      <c r="T474" s="116"/>
      <c r="U474" s="116"/>
      <c r="V474" s="116"/>
      <c r="W474" s="116"/>
      <c r="X474" s="116"/>
      <c r="Y474" s="116"/>
      <c r="Z474" s="116"/>
      <c r="AA474" s="116"/>
      <c r="AB474" s="116"/>
      <c r="AC474" s="116"/>
      <c r="AD474" s="116"/>
    </row>
    <row r="475" spans="1:30" s="118" customFormat="1" ht="23.25">
      <c r="A475" s="303"/>
      <c r="B475" s="439" t="s">
        <v>522</v>
      </c>
      <c r="C475" s="346">
        <v>10</v>
      </c>
      <c r="D475" s="346">
        <v>1</v>
      </c>
      <c r="E475" s="346">
        <v>1</v>
      </c>
      <c r="F475" s="440">
        <v>3.35</v>
      </c>
      <c r="G475" s="440">
        <v>5.18</v>
      </c>
      <c r="H475" s="346">
        <v>0.125</v>
      </c>
      <c r="I475" s="298">
        <f t="shared" ref="I475:I488" si="23">PRODUCT(C475:H475)</f>
        <v>21.69</v>
      </c>
      <c r="J475" s="303"/>
    </row>
    <row r="476" spans="1:30" s="118" customFormat="1" ht="23.25">
      <c r="A476" s="303"/>
      <c r="B476" s="439" t="s">
        <v>430</v>
      </c>
      <c r="C476" s="346">
        <v>10</v>
      </c>
      <c r="D476" s="346">
        <v>1</v>
      </c>
      <c r="E476" s="346">
        <v>1</v>
      </c>
      <c r="F476" s="440">
        <v>3.35</v>
      </c>
      <c r="G476" s="440">
        <v>3.6</v>
      </c>
      <c r="H476" s="346">
        <v>0.125</v>
      </c>
      <c r="I476" s="298">
        <f t="shared" si="23"/>
        <v>15.08</v>
      </c>
      <c r="J476" s="303"/>
    </row>
    <row r="477" spans="1:30" s="118" customFormat="1" ht="23.25">
      <c r="A477" s="303"/>
      <c r="B477" s="439" t="s">
        <v>521</v>
      </c>
      <c r="C477" s="346">
        <v>10</v>
      </c>
      <c r="D477" s="346">
        <v>1</v>
      </c>
      <c r="E477" s="346">
        <v>1</v>
      </c>
      <c r="F477" s="440">
        <v>1.2</v>
      </c>
      <c r="G477" s="440">
        <v>2.2850000000000001</v>
      </c>
      <c r="H477" s="346">
        <v>0.15</v>
      </c>
      <c r="I477" s="298">
        <f t="shared" si="23"/>
        <v>4.1100000000000003</v>
      </c>
      <c r="J477" s="303"/>
    </row>
    <row r="478" spans="1:30" s="118" customFormat="1" ht="23.25">
      <c r="A478" s="303"/>
      <c r="B478" s="439" t="s">
        <v>419</v>
      </c>
      <c r="C478" s="346">
        <v>10</v>
      </c>
      <c r="D478" s="346">
        <v>1</v>
      </c>
      <c r="E478" s="346">
        <v>1</v>
      </c>
      <c r="F478" s="440">
        <v>2.8</v>
      </c>
      <c r="G478" s="440">
        <v>1.1000000000000001</v>
      </c>
      <c r="H478" s="346">
        <v>0.15</v>
      </c>
      <c r="I478" s="298">
        <f t="shared" si="23"/>
        <v>4.62</v>
      </c>
      <c r="J478" s="303"/>
    </row>
    <row r="479" spans="1:30" s="118" customFormat="1" ht="23.25">
      <c r="A479" s="303"/>
      <c r="B479" s="439" t="s">
        <v>85</v>
      </c>
      <c r="C479" s="346">
        <v>10</v>
      </c>
      <c r="D479" s="346">
        <v>1</v>
      </c>
      <c r="E479" s="346">
        <v>1</v>
      </c>
      <c r="F479" s="441">
        <v>2.8</v>
      </c>
      <c r="G479" s="441">
        <v>2.4</v>
      </c>
      <c r="H479" s="346">
        <v>0.125</v>
      </c>
      <c r="I479" s="298">
        <f t="shared" si="23"/>
        <v>8.4</v>
      </c>
      <c r="J479" s="303"/>
    </row>
    <row r="480" spans="1:30" s="118" customFormat="1" ht="23.25">
      <c r="A480" s="303"/>
      <c r="B480" s="439" t="s">
        <v>78</v>
      </c>
      <c r="C480" s="346">
        <v>10</v>
      </c>
      <c r="D480" s="346">
        <v>1</v>
      </c>
      <c r="E480" s="346">
        <v>1</v>
      </c>
      <c r="F480" s="440">
        <v>1.2</v>
      </c>
      <c r="G480" s="440">
        <v>2.1</v>
      </c>
      <c r="H480" s="346">
        <v>0.15</v>
      </c>
      <c r="I480" s="298">
        <f t="shared" si="23"/>
        <v>3.78</v>
      </c>
      <c r="J480" s="303"/>
    </row>
    <row r="481" spans="1:13" s="118" customFormat="1" ht="23.25">
      <c r="A481" s="303"/>
      <c r="B481" s="439" t="s">
        <v>520</v>
      </c>
      <c r="C481" s="346">
        <v>10</v>
      </c>
      <c r="D481" s="346">
        <v>1</v>
      </c>
      <c r="E481" s="346">
        <v>1</v>
      </c>
      <c r="F481" s="440">
        <v>1.4</v>
      </c>
      <c r="G481" s="440">
        <v>1.2</v>
      </c>
      <c r="H481" s="346">
        <v>0.125</v>
      </c>
      <c r="I481" s="298">
        <f t="shared" si="23"/>
        <v>2.1</v>
      </c>
      <c r="J481" s="303"/>
    </row>
    <row r="482" spans="1:13" s="118" customFormat="1" ht="23.25">
      <c r="A482" s="303"/>
      <c r="B482" s="439" t="s">
        <v>428</v>
      </c>
      <c r="C482" s="346">
        <v>10</v>
      </c>
      <c r="D482" s="346">
        <v>1</v>
      </c>
      <c r="E482" s="346">
        <v>1</v>
      </c>
      <c r="F482" s="440">
        <v>3.35</v>
      </c>
      <c r="G482" s="440">
        <v>3.5</v>
      </c>
      <c r="H482" s="346">
        <v>0.125</v>
      </c>
      <c r="I482" s="298">
        <f t="shared" si="23"/>
        <v>14.66</v>
      </c>
      <c r="J482" s="303"/>
    </row>
    <row r="483" spans="1:13" s="118" customFormat="1" ht="23.25">
      <c r="A483" s="303"/>
      <c r="B483" s="293" t="s">
        <v>143</v>
      </c>
      <c r="C483" s="307">
        <v>1</v>
      </c>
      <c r="D483" s="307">
        <v>1</v>
      </c>
      <c r="E483" s="307">
        <v>2</v>
      </c>
      <c r="F483" s="308">
        <v>2.85</v>
      </c>
      <c r="G483" s="317">
        <v>1.26</v>
      </c>
      <c r="H483" s="346">
        <v>0.125</v>
      </c>
      <c r="I483" s="323">
        <f t="shared" si="23"/>
        <v>0.9</v>
      </c>
      <c r="J483" s="303"/>
    </row>
    <row r="484" spans="1:13" s="118" customFormat="1" ht="23.25">
      <c r="A484" s="303"/>
      <c r="B484" s="293" t="s">
        <v>143</v>
      </c>
      <c r="C484" s="307">
        <v>1</v>
      </c>
      <c r="D484" s="307">
        <v>1</v>
      </c>
      <c r="E484" s="307">
        <v>1</v>
      </c>
      <c r="F484" s="308">
        <v>1.66</v>
      </c>
      <c r="G484" s="317">
        <v>1.8</v>
      </c>
      <c r="H484" s="346">
        <v>0.125</v>
      </c>
      <c r="I484" s="323">
        <f t="shared" si="23"/>
        <v>0.37</v>
      </c>
      <c r="J484" s="303"/>
    </row>
    <row r="485" spans="1:13" s="118" customFormat="1" ht="23.25">
      <c r="A485" s="303"/>
      <c r="B485" s="293" t="s">
        <v>143</v>
      </c>
      <c r="C485" s="307">
        <v>1</v>
      </c>
      <c r="D485" s="307">
        <v>1</v>
      </c>
      <c r="E485" s="307">
        <v>1</v>
      </c>
      <c r="F485" s="308">
        <v>1.64</v>
      </c>
      <c r="G485" s="317">
        <v>1.8</v>
      </c>
      <c r="H485" s="346">
        <v>0.125</v>
      </c>
      <c r="I485" s="323">
        <f t="shared" si="23"/>
        <v>0.37</v>
      </c>
      <c r="J485" s="303"/>
    </row>
    <row r="486" spans="1:13" s="118" customFormat="1" ht="23.25">
      <c r="A486" s="303"/>
      <c r="B486" s="293" t="s">
        <v>143</v>
      </c>
      <c r="C486" s="307">
        <v>1</v>
      </c>
      <c r="D486" s="307">
        <v>1</v>
      </c>
      <c r="E486" s="307">
        <v>1</v>
      </c>
      <c r="F486" s="308">
        <v>1.75</v>
      </c>
      <c r="G486" s="317">
        <v>1.8</v>
      </c>
      <c r="H486" s="346">
        <v>0.125</v>
      </c>
      <c r="I486" s="323">
        <f t="shared" si="23"/>
        <v>0.39</v>
      </c>
      <c r="J486" s="303"/>
    </row>
    <row r="487" spans="1:13" s="118" customFormat="1" ht="23.25">
      <c r="A487" s="303"/>
      <c r="B487" s="293" t="s">
        <v>866</v>
      </c>
      <c r="C487" s="307">
        <v>1</v>
      </c>
      <c r="D487" s="307">
        <v>1</v>
      </c>
      <c r="E487" s="307">
        <v>1</v>
      </c>
      <c r="F487" s="308">
        <v>2</v>
      </c>
      <c r="G487" s="317">
        <v>3.53</v>
      </c>
      <c r="H487" s="346">
        <v>0.125</v>
      </c>
      <c r="I487" s="323">
        <f>PRODUCT(C487:H487)</f>
        <v>0.88</v>
      </c>
      <c r="J487" s="303"/>
    </row>
    <row r="488" spans="1:13" s="118" customFormat="1" ht="23.25">
      <c r="A488" s="303"/>
      <c r="B488" s="293" t="s">
        <v>142</v>
      </c>
      <c r="C488" s="307">
        <v>1</v>
      </c>
      <c r="D488" s="307">
        <v>1</v>
      </c>
      <c r="E488" s="307">
        <v>1</v>
      </c>
      <c r="F488" s="308">
        <v>2.97</v>
      </c>
      <c r="G488" s="317">
        <v>2.2999999999999998</v>
      </c>
      <c r="H488" s="346">
        <v>0.125</v>
      </c>
      <c r="I488" s="323">
        <f t="shared" si="23"/>
        <v>0.85</v>
      </c>
      <c r="J488" s="303"/>
    </row>
    <row r="489" spans="1:13" s="118" customFormat="1" ht="23.25">
      <c r="A489" s="303"/>
      <c r="B489" s="319" t="s">
        <v>519</v>
      </c>
      <c r="C489" s="307"/>
      <c r="D489" s="294"/>
      <c r="E489" s="294"/>
      <c r="F489" s="294"/>
      <c r="G489" s="300"/>
      <c r="H489" s="300"/>
      <c r="I489" s="309"/>
      <c r="J489" s="303"/>
    </row>
    <row r="490" spans="1:13" s="81" customFormat="1" ht="23.25" customHeight="1">
      <c r="A490" s="307"/>
      <c r="B490" s="293" t="s">
        <v>144</v>
      </c>
      <c r="C490" s="307">
        <v>1</v>
      </c>
      <c r="D490" s="307">
        <v>1</v>
      </c>
      <c r="E490" s="307">
        <v>1</v>
      </c>
      <c r="F490" s="317">
        <v>26.704999999999998</v>
      </c>
      <c r="G490" s="317">
        <v>1.8</v>
      </c>
      <c r="H490" s="317">
        <v>0.125</v>
      </c>
      <c r="I490" s="323">
        <f t="shared" ref="I490:I500" si="24">PRODUCT(C490:H490)</f>
        <v>6.01</v>
      </c>
      <c r="J490" s="294"/>
      <c r="K490" s="54"/>
      <c r="L490" s="54"/>
      <c r="M490" s="54"/>
    </row>
    <row r="491" spans="1:13" s="81" customFormat="1" ht="23.25" customHeight="1">
      <c r="A491" s="294"/>
      <c r="B491" s="293" t="s">
        <v>941</v>
      </c>
      <c r="C491" s="307">
        <v>1</v>
      </c>
      <c r="D491" s="307">
        <v>1</v>
      </c>
      <c r="E491" s="307">
        <v>1</v>
      </c>
      <c r="F491" s="317">
        <v>6.0590000000000002</v>
      </c>
      <c r="G491" s="317">
        <v>2.1549999999999998</v>
      </c>
      <c r="H491" s="317">
        <v>0.125</v>
      </c>
      <c r="I491" s="323">
        <f t="shared" si="24"/>
        <v>1.63</v>
      </c>
      <c r="J491" s="294"/>
      <c r="K491" s="54"/>
      <c r="L491" s="54"/>
      <c r="M491" s="54"/>
    </row>
    <row r="492" spans="1:13" s="81" customFormat="1" ht="23.25" customHeight="1">
      <c r="A492" s="294"/>
      <c r="B492" s="293" t="s">
        <v>941</v>
      </c>
      <c r="C492" s="307">
        <v>1</v>
      </c>
      <c r="D492" s="307">
        <v>1</v>
      </c>
      <c r="E492" s="307">
        <v>1</v>
      </c>
      <c r="F492" s="317">
        <v>4.7939999999999996</v>
      </c>
      <c r="G492" s="317">
        <v>2.6</v>
      </c>
      <c r="H492" s="317">
        <v>0.125</v>
      </c>
      <c r="I492" s="323">
        <f t="shared" si="24"/>
        <v>1.56</v>
      </c>
      <c r="J492" s="294"/>
      <c r="K492" s="54"/>
      <c r="L492" s="54"/>
      <c r="M492" s="54"/>
    </row>
    <row r="493" spans="1:13" s="81" customFormat="1" ht="23.25" customHeight="1">
      <c r="A493" s="307"/>
      <c r="B493" s="293" t="s">
        <v>518</v>
      </c>
      <c r="C493" s="307">
        <v>1</v>
      </c>
      <c r="D493" s="307">
        <v>2</v>
      </c>
      <c r="E493" s="307">
        <v>5</v>
      </c>
      <c r="F493" s="317">
        <v>2.0150000000000001</v>
      </c>
      <c r="G493" s="317">
        <v>1.615</v>
      </c>
      <c r="H493" s="317">
        <v>0.125</v>
      </c>
      <c r="I493" s="323">
        <f t="shared" si="24"/>
        <v>4.07</v>
      </c>
      <c r="J493" s="294"/>
      <c r="K493" s="54"/>
      <c r="L493" s="54"/>
      <c r="M493" s="54"/>
    </row>
    <row r="494" spans="1:13" s="81" customFormat="1" ht="23.25" customHeight="1">
      <c r="A494" s="294"/>
      <c r="B494" s="293" t="s">
        <v>517</v>
      </c>
      <c r="C494" s="307">
        <v>1</v>
      </c>
      <c r="D494" s="307">
        <v>2</v>
      </c>
      <c r="E494" s="307">
        <v>1</v>
      </c>
      <c r="F494" s="308">
        <v>0.8</v>
      </c>
      <c r="G494" s="317">
        <v>1.1499999999999999</v>
      </c>
      <c r="H494" s="317">
        <v>0.125</v>
      </c>
      <c r="I494" s="323">
        <f t="shared" si="24"/>
        <v>0.23</v>
      </c>
      <c r="J494" s="294"/>
      <c r="K494" s="54"/>
      <c r="L494" s="54"/>
      <c r="M494" s="54"/>
    </row>
    <row r="495" spans="1:13" s="81" customFormat="1" ht="23.25" customHeight="1">
      <c r="A495" s="307"/>
      <c r="B495" s="293" t="s">
        <v>516</v>
      </c>
      <c r="C495" s="307">
        <v>1</v>
      </c>
      <c r="D495" s="307">
        <v>2</v>
      </c>
      <c r="E495" s="307">
        <v>1</v>
      </c>
      <c r="F495" s="317">
        <v>1.6850000000000001</v>
      </c>
      <c r="G495" s="317">
        <v>1.1499999999999999</v>
      </c>
      <c r="H495" s="317">
        <v>0.125</v>
      </c>
      <c r="I495" s="323">
        <f t="shared" si="24"/>
        <v>0.48</v>
      </c>
      <c r="J495" s="294"/>
      <c r="K495" s="54"/>
      <c r="L495" s="54"/>
      <c r="M495" s="54"/>
    </row>
    <row r="496" spans="1:13" s="81" customFormat="1" ht="23.25" customHeight="1">
      <c r="A496" s="294"/>
      <c r="B496" s="293" t="s">
        <v>515</v>
      </c>
      <c r="C496" s="307">
        <v>1</v>
      </c>
      <c r="D496" s="307">
        <v>2</v>
      </c>
      <c r="E496" s="307">
        <v>1</v>
      </c>
      <c r="F496" s="308">
        <v>2.83</v>
      </c>
      <c r="G496" s="317">
        <v>0.86499999999999999</v>
      </c>
      <c r="H496" s="317">
        <v>0.125</v>
      </c>
      <c r="I496" s="323">
        <f t="shared" si="24"/>
        <v>0.61</v>
      </c>
      <c r="J496" s="294"/>
      <c r="K496" s="54"/>
      <c r="L496" s="54"/>
      <c r="M496" s="54"/>
    </row>
    <row r="497" spans="1:30" s="81" customFormat="1" ht="23.25" customHeight="1">
      <c r="A497" s="294"/>
      <c r="B497" s="293" t="s">
        <v>305</v>
      </c>
      <c r="C497" s="307">
        <v>1</v>
      </c>
      <c r="D497" s="307">
        <v>1</v>
      </c>
      <c r="E497" s="307">
        <v>1</v>
      </c>
      <c r="F497" s="308">
        <v>0.86</v>
      </c>
      <c r="G497" s="317">
        <v>0.93500000000000005</v>
      </c>
      <c r="H497" s="317">
        <v>0.125</v>
      </c>
      <c r="I497" s="323">
        <f t="shared" si="24"/>
        <v>0.1</v>
      </c>
      <c r="J497" s="294"/>
      <c r="K497" s="54"/>
      <c r="L497" s="54"/>
      <c r="M497" s="54"/>
    </row>
    <row r="498" spans="1:30" s="81" customFormat="1" ht="23.25" customHeight="1">
      <c r="A498" s="294"/>
      <c r="B498" s="293" t="s">
        <v>305</v>
      </c>
      <c r="C498" s="307">
        <v>1</v>
      </c>
      <c r="D498" s="307">
        <v>1</v>
      </c>
      <c r="E498" s="307">
        <v>1</v>
      </c>
      <c r="F498" s="308">
        <v>0.79</v>
      </c>
      <c r="G498" s="317">
        <v>0.93500000000000005</v>
      </c>
      <c r="H498" s="317">
        <v>0.125</v>
      </c>
      <c r="I498" s="323">
        <f t="shared" si="24"/>
        <v>0.09</v>
      </c>
      <c r="J498" s="294"/>
      <c r="K498" s="54"/>
      <c r="L498" s="54"/>
      <c r="M498" s="54"/>
      <c r="N498" s="81">
        <f>1.02+0.695</f>
        <v>1.7150000000000001</v>
      </c>
      <c r="O498" s="81">
        <f>N498/2</f>
        <v>0.85750000000000004</v>
      </c>
    </row>
    <row r="499" spans="1:30" s="81" customFormat="1" ht="23.25" customHeight="1">
      <c r="A499" s="294"/>
      <c r="B499" s="293" t="s">
        <v>304</v>
      </c>
      <c r="C499" s="307">
        <v>1</v>
      </c>
      <c r="D499" s="307">
        <v>1</v>
      </c>
      <c r="E499" s="307">
        <v>1</v>
      </c>
      <c r="F499" s="308">
        <v>0.82</v>
      </c>
      <c r="G499" s="317">
        <v>0.93500000000000005</v>
      </c>
      <c r="H499" s="317">
        <v>0.125</v>
      </c>
      <c r="I499" s="323">
        <f t="shared" si="24"/>
        <v>0.1</v>
      </c>
      <c r="J499" s="294"/>
      <c r="K499" s="54"/>
      <c r="L499" s="54"/>
      <c r="M499" s="54"/>
      <c r="N499" s="81">
        <f>0.981+0.6</f>
        <v>1.581</v>
      </c>
      <c r="O499" s="81">
        <f>N499/2</f>
        <v>0.79049999999999998</v>
      </c>
    </row>
    <row r="500" spans="1:30" s="81" customFormat="1" ht="23.25" customHeight="1">
      <c r="A500" s="294"/>
      <c r="B500" s="293" t="s">
        <v>304</v>
      </c>
      <c r="C500" s="307">
        <v>1</v>
      </c>
      <c r="D500" s="307">
        <v>1</v>
      </c>
      <c r="E500" s="307">
        <v>1</v>
      </c>
      <c r="F500" s="317">
        <v>0.84499999999999997</v>
      </c>
      <c r="G500" s="317">
        <v>0.93500000000000005</v>
      </c>
      <c r="H500" s="317">
        <v>0.125</v>
      </c>
      <c r="I500" s="323">
        <f t="shared" si="24"/>
        <v>0.1</v>
      </c>
      <c r="J500" s="294"/>
      <c r="K500" s="54"/>
      <c r="L500" s="54"/>
      <c r="M500" s="54"/>
      <c r="N500" s="81">
        <f>0.954+0.695</f>
        <v>1.649</v>
      </c>
      <c r="O500" s="81">
        <f>N500/2</f>
        <v>0.82450000000000001</v>
      </c>
    </row>
    <row r="501" spans="1:30" s="118" customFormat="1" ht="23.25">
      <c r="A501" s="303"/>
      <c r="B501" s="293" t="s">
        <v>867</v>
      </c>
      <c r="C501" s="307">
        <v>1</v>
      </c>
      <c r="D501" s="307">
        <v>1</v>
      </c>
      <c r="E501" s="307">
        <v>1</v>
      </c>
      <c r="F501" s="446">
        <v>1.63</v>
      </c>
      <c r="G501" s="317">
        <v>0.93500000000000005</v>
      </c>
      <c r="H501" s="317">
        <v>0.125</v>
      </c>
      <c r="I501" s="323">
        <f>PRODUCT(C501:H501)</f>
        <v>0.19</v>
      </c>
      <c r="J501" s="303"/>
    </row>
    <row r="502" spans="1:30" s="118" customFormat="1" ht="23.25">
      <c r="A502" s="303"/>
      <c r="B502" s="293" t="s">
        <v>868</v>
      </c>
      <c r="C502" s="307">
        <v>1</v>
      </c>
      <c r="D502" s="307">
        <v>1</v>
      </c>
      <c r="E502" s="307">
        <v>1</v>
      </c>
      <c r="F502" s="446">
        <v>2.1349999999999998</v>
      </c>
      <c r="G502" s="317">
        <v>2.13</v>
      </c>
      <c r="H502" s="317">
        <v>0.125</v>
      </c>
      <c r="I502" s="323">
        <f>PRODUCT(C502:H502)</f>
        <v>0.56999999999999995</v>
      </c>
      <c r="J502" s="303"/>
    </row>
    <row r="503" spans="1:30" s="118" customFormat="1" ht="23.25">
      <c r="A503" s="303"/>
      <c r="B503" s="293" t="s">
        <v>869</v>
      </c>
      <c r="C503" s="307">
        <v>1</v>
      </c>
      <c r="D503" s="307">
        <v>1</v>
      </c>
      <c r="E503" s="307">
        <v>1</v>
      </c>
      <c r="F503" s="446">
        <v>2.1349999999999998</v>
      </c>
      <c r="G503" s="317">
        <v>0.75</v>
      </c>
      <c r="H503" s="317">
        <v>0.125</v>
      </c>
      <c r="I503" s="323">
        <f>PRODUCT(C503:H503)</f>
        <v>0.2</v>
      </c>
      <c r="J503" s="303"/>
    </row>
    <row r="504" spans="1:30" s="118" customFormat="1" ht="23.25">
      <c r="A504" s="303"/>
      <c r="B504" s="296" t="s">
        <v>812</v>
      </c>
      <c r="C504" s="307"/>
      <c r="D504" s="307"/>
      <c r="E504" s="307"/>
      <c r="F504" s="442"/>
      <c r="G504" s="307"/>
      <c r="H504" s="307"/>
      <c r="I504" s="323"/>
      <c r="J504" s="303"/>
    </row>
    <row r="505" spans="1:30" s="108" customFormat="1" ht="23.25" customHeight="1">
      <c r="A505" s="294"/>
      <c r="B505" s="293" t="s">
        <v>514</v>
      </c>
      <c r="C505" s="307">
        <v>1</v>
      </c>
      <c r="D505" s="307">
        <v>2</v>
      </c>
      <c r="E505" s="307">
        <v>5</v>
      </c>
      <c r="F505" s="335">
        <v>3.1</v>
      </c>
      <c r="G505" s="308">
        <v>1</v>
      </c>
      <c r="H505" s="307">
        <v>0.125</v>
      </c>
      <c r="I505" s="323">
        <f>PRODUCT(C505:H505)</f>
        <v>3.88</v>
      </c>
      <c r="J505" s="294"/>
      <c r="K505" s="111"/>
      <c r="L505" s="111"/>
      <c r="M505" s="111"/>
    </row>
    <row r="506" spans="1:30" s="108" customFormat="1" ht="23.25" customHeight="1">
      <c r="A506" s="294"/>
      <c r="B506" s="293" t="s">
        <v>514</v>
      </c>
      <c r="C506" s="307">
        <v>1</v>
      </c>
      <c r="D506" s="307">
        <v>2</v>
      </c>
      <c r="E506" s="307">
        <v>1</v>
      </c>
      <c r="F506" s="335">
        <v>2.5</v>
      </c>
      <c r="G506" s="308">
        <v>1</v>
      </c>
      <c r="H506" s="307">
        <v>0.125</v>
      </c>
      <c r="I506" s="323">
        <f>PRODUCT(C506:H506)</f>
        <v>0.63</v>
      </c>
      <c r="J506" s="294"/>
      <c r="K506" s="111"/>
      <c r="L506" s="111"/>
      <c r="M506" s="111"/>
    </row>
    <row r="507" spans="1:30" s="81" customFormat="1" ht="23.25" customHeight="1">
      <c r="A507" s="294"/>
      <c r="B507" s="443" t="s">
        <v>530</v>
      </c>
      <c r="C507" s="443"/>
      <c r="D507" s="443"/>
      <c r="E507" s="307"/>
      <c r="F507" s="419"/>
      <c r="G507" s="444"/>
      <c r="H507" s="444"/>
      <c r="I507" s="323"/>
      <c r="J507" s="294"/>
      <c r="K507" s="54"/>
      <c r="L507" s="54"/>
      <c r="M507" s="54"/>
      <c r="N507" s="81">
        <f>1.875+1.45</f>
        <v>3.3250000000000002</v>
      </c>
      <c r="O507" s="81">
        <f>N507/2</f>
        <v>1.6625000000000001</v>
      </c>
    </row>
    <row r="508" spans="1:30" s="115" customFormat="1" ht="24.75" customHeight="1">
      <c r="A508" s="307"/>
      <c r="B508" s="445" t="s">
        <v>93</v>
      </c>
      <c r="C508" s="307">
        <v>1</v>
      </c>
      <c r="D508" s="307">
        <v>1</v>
      </c>
      <c r="E508" s="307">
        <v>5</v>
      </c>
      <c r="F508" s="446">
        <v>8.8949999999999996</v>
      </c>
      <c r="G508" s="308">
        <v>0.23</v>
      </c>
      <c r="H508" s="308">
        <v>0.4</v>
      </c>
      <c r="I508" s="323">
        <f t="shared" ref="I508:I515" si="25">PRODUCT(C508:H508)</f>
        <v>4.09</v>
      </c>
      <c r="J508" s="307"/>
      <c r="K508" s="117"/>
      <c r="L508" s="117"/>
      <c r="M508" s="117"/>
      <c r="N508" s="116"/>
      <c r="O508" s="116"/>
      <c r="P508" s="116"/>
      <c r="Q508" s="116"/>
      <c r="R508" s="116"/>
      <c r="S508" s="116"/>
      <c r="T508" s="116"/>
      <c r="U508" s="116"/>
      <c r="V508" s="116"/>
      <c r="W508" s="116"/>
      <c r="X508" s="116"/>
      <c r="Y508" s="116"/>
      <c r="Z508" s="116"/>
      <c r="AA508" s="116"/>
      <c r="AB508" s="116"/>
      <c r="AC508" s="116"/>
      <c r="AD508" s="116"/>
    </row>
    <row r="509" spans="1:30" s="115" customFormat="1" ht="24.75" customHeight="1">
      <c r="A509" s="307"/>
      <c r="B509" s="445" t="s">
        <v>93</v>
      </c>
      <c r="C509" s="307">
        <v>5</v>
      </c>
      <c r="D509" s="307">
        <v>1</v>
      </c>
      <c r="E509" s="307">
        <v>2</v>
      </c>
      <c r="F509" s="446">
        <v>3.6</v>
      </c>
      <c r="G509" s="308">
        <v>0.23</v>
      </c>
      <c r="H509" s="308">
        <v>0.4</v>
      </c>
      <c r="I509" s="323">
        <f t="shared" si="25"/>
        <v>3.31</v>
      </c>
      <c r="J509" s="307"/>
      <c r="K509" s="117"/>
      <c r="L509" s="117"/>
      <c r="M509" s="117"/>
      <c r="N509" s="116"/>
      <c r="O509" s="116"/>
      <c r="P509" s="116"/>
      <c r="Q509" s="116"/>
      <c r="R509" s="116"/>
      <c r="S509" s="116"/>
      <c r="T509" s="116"/>
      <c r="U509" s="116"/>
      <c r="V509" s="116"/>
      <c r="W509" s="116"/>
      <c r="X509" s="116"/>
      <c r="Y509" s="116"/>
      <c r="Z509" s="116"/>
      <c r="AA509" s="116"/>
      <c r="AB509" s="116"/>
      <c r="AC509" s="116"/>
      <c r="AD509" s="116"/>
    </row>
    <row r="510" spans="1:30" s="115" customFormat="1" ht="24.75" customHeight="1">
      <c r="A510" s="307"/>
      <c r="B510" s="445" t="s">
        <v>93</v>
      </c>
      <c r="C510" s="307">
        <v>5</v>
      </c>
      <c r="D510" s="307">
        <v>1</v>
      </c>
      <c r="E510" s="307">
        <v>4</v>
      </c>
      <c r="F510" s="446">
        <v>4</v>
      </c>
      <c r="G510" s="308">
        <v>0.23</v>
      </c>
      <c r="H510" s="308">
        <v>0.4</v>
      </c>
      <c r="I510" s="323">
        <f t="shared" si="25"/>
        <v>7.36</v>
      </c>
      <c r="J510" s="307"/>
      <c r="K510" s="117"/>
      <c r="L510" s="117"/>
      <c r="M510" s="117"/>
      <c r="N510" s="116"/>
      <c r="O510" s="116"/>
      <c r="P510" s="116"/>
      <c r="Q510" s="116"/>
      <c r="R510" s="116"/>
      <c r="S510" s="116"/>
      <c r="T510" s="116"/>
      <c r="U510" s="116"/>
      <c r="V510" s="116"/>
      <c r="W510" s="116"/>
      <c r="X510" s="116"/>
      <c r="Y510" s="116"/>
      <c r="Z510" s="116"/>
      <c r="AA510" s="116"/>
      <c r="AB510" s="116"/>
      <c r="AC510" s="116"/>
      <c r="AD510" s="116"/>
    </row>
    <row r="511" spans="1:30" s="115" customFormat="1" ht="24.75" customHeight="1">
      <c r="A511" s="307"/>
      <c r="B511" s="445" t="s">
        <v>93</v>
      </c>
      <c r="C511" s="307">
        <v>5</v>
      </c>
      <c r="D511" s="307">
        <v>1</v>
      </c>
      <c r="E511" s="307">
        <v>4</v>
      </c>
      <c r="F511" s="446">
        <v>5.0650000000000004</v>
      </c>
      <c r="G511" s="308">
        <v>0.23</v>
      </c>
      <c r="H511" s="308">
        <v>0.6</v>
      </c>
      <c r="I511" s="323">
        <f t="shared" si="25"/>
        <v>13.98</v>
      </c>
      <c r="J511" s="307"/>
      <c r="K511" s="117"/>
      <c r="L511" s="117"/>
      <c r="M511" s="117"/>
      <c r="N511" s="116"/>
      <c r="O511" s="116"/>
      <c r="P511" s="116"/>
      <c r="Q511" s="116"/>
      <c r="R511" s="116"/>
      <c r="S511" s="116"/>
      <c r="T511" s="116"/>
      <c r="U511" s="116"/>
      <c r="V511" s="116"/>
      <c r="W511" s="116"/>
      <c r="X511" s="116"/>
      <c r="Y511" s="116"/>
      <c r="Z511" s="116"/>
      <c r="AA511" s="116"/>
      <c r="AB511" s="116"/>
      <c r="AC511" s="116"/>
      <c r="AD511" s="116"/>
    </row>
    <row r="512" spans="1:30" s="115" customFormat="1" ht="24.75" customHeight="1">
      <c r="A512" s="307"/>
      <c r="B512" s="445" t="s">
        <v>853</v>
      </c>
      <c r="C512" s="307">
        <v>5</v>
      </c>
      <c r="D512" s="307">
        <v>1</v>
      </c>
      <c r="E512" s="307">
        <v>1</v>
      </c>
      <c r="F512" s="446">
        <v>14.39</v>
      </c>
      <c r="G512" s="308">
        <v>0.23</v>
      </c>
      <c r="H512" s="308">
        <v>0.4</v>
      </c>
      <c r="I512" s="323">
        <f t="shared" si="25"/>
        <v>6.62</v>
      </c>
      <c r="J512" s="307"/>
      <c r="K512" s="117"/>
      <c r="L512" s="117"/>
      <c r="M512" s="117"/>
      <c r="N512" s="116"/>
      <c r="O512" s="116"/>
      <c r="P512" s="116"/>
      <c r="Q512" s="116"/>
      <c r="R512" s="116"/>
      <c r="S512" s="116"/>
      <c r="T512" s="116"/>
      <c r="U512" s="116"/>
      <c r="V512" s="116"/>
      <c r="W512" s="116"/>
      <c r="X512" s="116"/>
      <c r="Y512" s="116"/>
      <c r="Z512" s="116"/>
      <c r="AA512" s="116"/>
      <c r="AB512" s="116"/>
      <c r="AC512" s="116"/>
      <c r="AD512" s="116"/>
    </row>
    <row r="513" spans="1:30" s="115" customFormat="1" ht="24.75" customHeight="1">
      <c r="A513" s="307"/>
      <c r="B513" s="445" t="s">
        <v>942</v>
      </c>
      <c r="C513" s="307">
        <v>5</v>
      </c>
      <c r="D513" s="307">
        <v>1</v>
      </c>
      <c r="E513" s="307">
        <v>2</v>
      </c>
      <c r="F513" s="446">
        <v>3.5</v>
      </c>
      <c r="G513" s="308">
        <v>0.23</v>
      </c>
      <c r="H513" s="308">
        <v>0.05</v>
      </c>
      <c r="I513" s="323">
        <f t="shared" si="25"/>
        <v>0.4</v>
      </c>
      <c r="J513" s="307"/>
      <c r="K513" s="117"/>
      <c r="L513" s="117"/>
      <c r="M513" s="117"/>
      <c r="N513" s="116"/>
      <c r="O513" s="116"/>
      <c r="P513" s="116"/>
      <c r="Q513" s="116"/>
      <c r="R513" s="116"/>
      <c r="S513" s="116"/>
      <c r="T513" s="116"/>
      <c r="U513" s="116"/>
      <c r="V513" s="116"/>
      <c r="W513" s="116"/>
      <c r="X513" s="116"/>
      <c r="Y513" s="116"/>
      <c r="Z513" s="116"/>
      <c r="AA513" s="116"/>
      <c r="AB513" s="116"/>
      <c r="AC513" s="116"/>
      <c r="AD513" s="116"/>
    </row>
    <row r="514" spans="1:30" s="115" customFormat="1" ht="24.75" customHeight="1">
      <c r="A514" s="307"/>
      <c r="B514" s="445" t="s">
        <v>853</v>
      </c>
      <c r="C514" s="307">
        <v>5</v>
      </c>
      <c r="D514" s="307">
        <v>2</v>
      </c>
      <c r="E514" s="307">
        <v>3</v>
      </c>
      <c r="F514" s="446">
        <v>3.3849999999999998</v>
      </c>
      <c r="G514" s="308">
        <v>0.23</v>
      </c>
      <c r="H514" s="308">
        <v>0.6</v>
      </c>
      <c r="I514" s="323">
        <f t="shared" si="25"/>
        <v>14.01</v>
      </c>
      <c r="J514" s="307"/>
      <c r="K514" s="117"/>
      <c r="L514" s="117"/>
      <c r="M514" s="117"/>
      <c r="N514" s="116"/>
      <c r="O514" s="116"/>
      <c r="P514" s="116"/>
      <c r="Q514" s="116"/>
      <c r="R514" s="116"/>
      <c r="S514" s="116"/>
      <c r="T514" s="116"/>
      <c r="U514" s="116"/>
      <c r="V514" s="116"/>
      <c r="W514" s="116"/>
      <c r="X514" s="116"/>
      <c r="Y514" s="116"/>
      <c r="Z514" s="116"/>
      <c r="AA514" s="116"/>
      <c r="AB514" s="116"/>
      <c r="AC514" s="116"/>
      <c r="AD514" s="116"/>
    </row>
    <row r="515" spans="1:30" s="115" customFormat="1" ht="24.75" customHeight="1">
      <c r="A515" s="307"/>
      <c r="B515" s="445" t="s">
        <v>853</v>
      </c>
      <c r="C515" s="307">
        <v>5</v>
      </c>
      <c r="D515" s="307">
        <v>1</v>
      </c>
      <c r="E515" s="307">
        <v>2</v>
      </c>
      <c r="F515" s="446">
        <v>3.35</v>
      </c>
      <c r="G515" s="308">
        <v>0.23</v>
      </c>
      <c r="H515" s="308">
        <v>0.4</v>
      </c>
      <c r="I515" s="323">
        <f t="shared" si="25"/>
        <v>3.08</v>
      </c>
      <c r="J515" s="307"/>
      <c r="K515" s="117"/>
      <c r="L515" s="117"/>
      <c r="M515" s="117"/>
      <c r="N515" s="116"/>
      <c r="O515" s="116"/>
      <c r="P515" s="116"/>
      <c r="Q515" s="116"/>
      <c r="R515" s="116"/>
      <c r="S515" s="116"/>
      <c r="T515" s="116"/>
      <c r="U515" s="116"/>
      <c r="V515" s="116"/>
      <c r="W515" s="116"/>
      <c r="X515" s="116"/>
      <c r="Y515" s="116"/>
      <c r="Z515" s="116"/>
      <c r="AA515" s="116"/>
      <c r="AB515" s="116"/>
      <c r="AC515" s="116"/>
      <c r="AD515" s="116"/>
    </row>
    <row r="516" spans="1:30" s="115" customFormat="1" ht="24.75" customHeight="1">
      <c r="A516" s="307"/>
      <c r="B516" s="447" t="s">
        <v>943</v>
      </c>
      <c r="C516" s="307"/>
      <c r="D516" s="307"/>
      <c r="E516" s="307"/>
      <c r="F516" s="446"/>
      <c r="G516" s="308"/>
      <c r="H516" s="308"/>
      <c r="I516" s="323"/>
      <c r="J516" s="307"/>
      <c r="K516" s="117"/>
      <c r="L516" s="117"/>
      <c r="M516" s="117"/>
      <c r="N516" s="116"/>
      <c r="O516" s="116"/>
      <c r="P516" s="116"/>
      <c r="Q516" s="116"/>
      <c r="R516" s="116"/>
      <c r="S516" s="116"/>
      <c r="T516" s="116"/>
      <c r="U516" s="116"/>
      <c r="V516" s="116"/>
      <c r="W516" s="116"/>
      <c r="X516" s="116"/>
      <c r="Y516" s="116"/>
      <c r="Z516" s="116"/>
      <c r="AA516" s="116"/>
      <c r="AB516" s="116"/>
      <c r="AC516" s="116"/>
      <c r="AD516" s="116"/>
    </row>
    <row r="517" spans="1:30" s="115" customFormat="1" ht="24.75" customHeight="1">
      <c r="A517" s="307"/>
      <c r="B517" s="445" t="s">
        <v>93</v>
      </c>
      <c r="C517" s="307">
        <v>1</v>
      </c>
      <c r="D517" s="307">
        <v>1</v>
      </c>
      <c r="E517" s="307">
        <v>1</v>
      </c>
      <c r="F517" s="446">
        <v>21.19</v>
      </c>
      <c r="G517" s="308">
        <v>0.23</v>
      </c>
      <c r="H517" s="308">
        <v>0.4</v>
      </c>
      <c r="I517" s="323">
        <f t="shared" ref="I517:I533" si="26">PRODUCT(C517:H517)</f>
        <v>1.95</v>
      </c>
      <c r="J517" s="307"/>
      <c r="K517" s="117"/>
      <c r="L517" s="117"/>
      <c r="M517" s="117"/>
      <c r="N517" s="116"/>
      <c r="O517" s="116"/>
      <c r="P517" s="116"/>
      <c r="Q517" s="116"/>
      <c r="R517" s="116"/>
      <c r="S517" s="116"/>
      <c r="T517" s="116"/>
      <c r="U517" s="116"/>
      <c r="V517" s="116"/>
      <c r="W517" s="116"/>
      <c r="X517" s="116"/>
      <c r="Y517" s="116"/>
      <c r="Z517" s="116"/>
      <c r="AA517" s="116"/>
      <c r="AB517" s="116"/>
      <c r="AC517" s="116"/>
      <c r="AD517" s="116"/>
    </row>
    <row r="518" spans="1:30" s="115" customFormat="1" ht="24.75" customHeight="1">
      <c r="A518" s="307"/>
      <c r="B518" s="445" t="s">
        <v>942</v>
      </c>
      <c r="C518" s="307">
        <v>1</v>
      </c>
      <c r="D518" s="307">
        <v>1</v>
      </c>
      <c r="E518" s="307">
        <v>2</v>
      </c>
      <c r="F518" s="446">
        <v>7.2249999999999996</v>
      </c>
      <c r="G518" s="308">
        <v>0.23</v>
      </c>
      <c r="H518" s="308">
        <v>0.05</v>
      </c>
      <c r="I518" s="323">
        <f t="shared" si="26"/>
        <v>0.17</v>
      </c>
      <c r="J518" s="307"/>
      <c r="K518" s="117"/>
      <c r="L518" s="117"/>
      <c r="M518" s="117"/>
      <c r="N518" s="116"/>
      <c r="O518" s="116"/>
      <c r="P518" s="116"/>
      <c r="Q518" s="116"/>
      <c r="R518" s="116"/>
      <c r="S518" s="116"/>
      <c r="T518" s="116"/>
      <c r="U518" s="116"/>
      <c r="V518" s="116"/>
      <c r="W518" s="116"/>
      <c r="X518" s="116"/>
      <c r="Y518" s="116"/>
      <c r="Z518" s="116"/>
      <c r="AA518" s="116"/>
      <c r="AB518" s="116"/>
      <c r="AC518" s="116"/>
      <c r="AD518" s="116"/>
    </row>
    <row r="519" spans="1:30" s="115" customFormat="1" ht="24.75" customHeight="1">
      <c r="A519" s="307"/>
      <c r="B519" s="445" t="s">
        <v>93</v>
      </c>
      <c r="C519" s="307">
        <v>1</v>
      </c>
      <c r="D519" s="307">
        <v>1</v>
      </c>
      <c r="E519" s="307">
        <v>2</v>
      </c>
      <c r="F519" s="446">
        <v>7.8949999999999996</v>
      </c>
      <c r="G519" s="308">
        <v>0.23</v>
      </c>
      <c r="H519" s="308">
        <v>0.45</v>
      </c>
      <c r="I519" s="323">
        <f t="shared" si="26"/>
        <v>1.63</v>
      </c>
      <c r="J519" s="307"/>
      <c r="K519" s="117"/>
      <c r="L519" s="117"/>
      <c r="M519" s="117"/>
      <c r="N519" s="116"/>
      <c r="O519" s="116"/>
      <c r="P519" s="116"/>
      <c r="Q519" s="116"/>
      <c r="R519" s="116"/>
      <c r="S519" s="116"/>
      <c r="T519" s="116"/>
      <c r="U519" s="116"/>
      <c r="V519" s="116"/>
      <c r="W519" s="116"/>
      <c r="X519" s="116"/>
      <c r="Y519" s="116"/>
      <c r="Z519" s="116"/>
      <c r="AA519" s="116"/>
      <c r="AB519" s="116"/>
      <c r="AC519" s="116"/>
      <c r="AD519" s="116"/>
    </row>
    <row r="520" spans="1:30" s="115" customFormat="1" ht="24.75" customHeight="1">
      <c r="A520" s="307"/>
      <c r="B520" s="445" t="s">
        <v>93</v>
      </c>
      <c r="C520" s="307">
        <v>1</v>
      </c>
      <c r="D520" s="307">
        <v>1</v>
      </c>
      <c r="E520" s="307">
        <v>1</v>
      </c>
      <c r="F520" s="446">
        <v>7.6230000000000002</v>
      </c>
      <c r="G520" s="308">
        <v>0.23</v>
      </c>
      <c r="H520" s="308">
        <v>0.6</v>
      </c>
      <c r="I520" s="323">
        <f t="shared" si="26"/>
        <v>1.05</v>
      </c>
      <c r="J520" s="307"/>
      <c r="K520" s="117"/>
      <c r="L520" s="117"/>
      <c r="M520" s="117"/>
      <c r="N520" s="116"/>
      <c r="O520" s="116"/>
      <c r="P520" s="116"/>
      <c r="Q520" s="116"/>
      <c r="R520" s="116"/>
      <c r="S520" s="116"/>
      <c r="T520" s="116"/>
      <c r="U520" s="116"/>
      <c r="V520" s="116"/>
      <c r="W520" s="116"/>
      <c r="X520" s="116"/>
      <c r="Y520" s="116"/>
      <c r="Z520" s="116"/>
      <c r="AA520" s="116"/>
      <c r="AB520" s="116"/>
      <c r="AC520" s="116"/>
      <c r="AD520" s="116"/>
    </row>
    <row r="521" spans="1:30" s="115" customFormat="1" ht="24.75" customHeight="1">
      <c r="A521" s="307"/>
      <c r="B521" s="445" t="s">
        <v>93</v>
      </c>
      <c r="C521" s="307">
        <v>1</v>
      </c>
      <c r="D521" s="307">
        <v>1</v>
      </c>
      <c r="E521" s="307">
        <v>1</v>
      </c>
      <c r="F521" s="446">
        <v>7.9290000000000003</v>
      </c>
      <c r="G521" s="308">
        <v>0.23</v>
      </c>
      <c r="H521" s="308">
        <v>0.6</v>
      </c>
      <c r="I521" s="323">
        <f t="shared" si="26"/>
        <v>1.0900000000000001</v>
      </c>
      <c r="J521" s="307"/>
      <c r="K521" s="117"/>
      <c r="L521" s="117"/>
      <c r="M521" s="117"/>
      <c r="N521" s="116"/>
      <c r="O521" s="116"/>
      <c r="P521" s="116"/>
      <c r="Q521" s="116"/>
      <c r="R521" s="116"/>
      <c r="S521" s="116"/>
      <c r="T521" s="116"/>
      <c r="U521" s="116"/>
      <c r="V521" s="116"/>
      <c r="W521" s="116"/>
      <c r="X521" s="116"/>
      <c r="Y521" s="116"/>
      <c r="Z521" s="116"/>
      <c r="AA521" s="116"/>
      <c r="AB521" s="116"/>
      <c r="AC521" s="116"/>
      <c r="AD521" s="116"/>
    </row>
    <row r="522" spans="1:30" s="115" customFormat="1" ht="24.75" customHeight="1">
      <c r="A522" s="307"/>
      <c r="B522" s="445" t="s">
        <v>93</v>
      </c>
      <c r="C522" s="307">
        <v>1</v>
      </c>
      <c r="D522" s="307">
        <v>1</v>
      </c>
      <c r="E522" s="307">
        <v>1</v>
      </c>
      <c r="F522" s="446">
        <v>6.0590000000000002</v>
      </c>
      <c r="G522" s="308">
        <v>0.23</v>
      </c>
      <c r="H522" s="308">
        <v>0.3</v>
      </c>
      <c r="I522" s="323">
        <f t="shared" si="26"/>
        <v>0.42</v>
      </c>
      <c r="J522" s="307"/>
      <c r="K522" s="117"/>
      <c r="L522" s="117"/>
      <c r="M522" s="117"/>
      <c r="N522" s="116"/>
      <c r="O522" s="116"/>
      <c r="P522" s="116"/>
      <c r="Q522" s="116"/>
      <c r="R522" s="116"/>
      <c r="S522" s="116"/>
      <c r="T522" s="116"/>
      <c r="U522" s="116"/>
      <c r="V522" s="116"/>
      <c r="W522" s="116"/>
      <c r="X522" s="116"/>
      <c r="Y522" s="116"/>
      <c r="Z522" s="116"/>
      <c r="AA522" s="116"/>
      <c r="AB522" s="116"/>
      <c r="AC522" s="116"/>
      <c r="AD522" s="116"/>
    </row>
    <row r="523" spans="1:30" s="115" customFormat="1" ht="24.75" customHeight="1">
      <c r="A523" s="307"/>
      <c r="B523" s="445" t="s">
        <v>93</v>
      </c>
      <c r="C523" s="307">
        <v>1</v>
      </c>
      <c r="D523" s="307">
        <v>1</v>
      </c>
      <c r="E523" s="307">
        <v>10</v>
      </c>
      <c r="F523" s="446">
        <v>1.9</v>
      </c>
      <c r="G523" s="308">
        <v>0.23</v>
      </c>
      <c r="H523" s="308">
        <v>0.3</v>
      </c>
      <c r="I523" s="323">
        <f t="shared" si="26"/>
        <v>1.31</v>
      </c>
      <c r="J523" s="307"/>
      <c r="K523" s="117"/>
      <c r="L523" s="117"/>
      <c r="M523" s="117"/>
      <c r="N523" s="116"/>
      <c r="O523" s="116"/>
      <c r="P523" s="116"/>
      <c r="Q523" s="116"/>
      <c r="R523" s="116"/>
      <c r="S523" s="116"/>
      <c r="T523" s="116"/>
      <c r="U523" s="116"/>
      <c r="V523" s="116"/>
      <c r="W523" s="116"/>
      <c r="X523" s="116"/>
      <c r="Y523" s="116"/>
      <c r="Z523" s="116"/>
      <c r="AA523" s="116"/>
      <c r="AB523" s="116"/>
      <c r="AC523" s="116"/>
      <c r="AD523" s="116"/>
    </row>
    <row r="524" spans="1:30" s="115" customFormat="1" ht="24.75" customHeight="1">
      <c r="A524" s="307"/>
      <c r="B524" s="445" t="s">
        <v>93</v>
      </c>
      <c r="C524" s="307">
        <v>1</v>
      </c>
      <c r="D524" s="307">
        <v>1</v>
      </c>
      <c r="E524" s="307">
        <v>1</v>
      </c>
      <c r="F524" s="446">
        <v>3.53</v>
      </c>
      <c r="G524" s="308">
        <v>0.23</v>
      </c>
      <c r="H524" s="308">
        <v>0.45</v>
      </c>
      <c r="I524" s="323">
        <f t="shared" si="26"/>
        <v>0.37</v>
      </c>
      <c r="J524" s="307"/>
      <c r="K524" s="117"/>
      <c r="L524" s="117"/>
      <c r="M524" s="117"/>
      <c r="N524" s="116"/>
      <c r="O524" s="116"/>
      <c r="P524" s="116"/>
      <c r="Q524" s="116"/>
      <c r="R524" s="116"/>
      <c r="S524" s="116"/>
      <c r="T524" s="116"/>
      <c r="U524" s="116"/>
      <c r="V524" s="116"/>
      <c r="W524" s="116"/>
      <c r="X524" s="116"/>
      <c r="Y524" s="116"/>
      <c r="Z524" s="116"/>
      <c r="AA524" s="116"/>
      <c r="AB524" s="116"/>
      <c r="AC524" s="116"/>
      <c r="AD524" s="116"/>
    </row>
    <row r="525" spans="1:30" s="115" customFormat="1" ht="24.75" customHeight="1">
      <c r="A525" s="307"/>
      <c r="B525" s="445" t="s">
        <v>93</v>
      </c>
      <c r="C525" s="307">
        <v>1</v>
      </c>
      <c r="D525" s="307">
        <v>1</v>
      </c>
      <c r="E525" s="307">
        <v>1</v>
      </c>
      <c r="F525" s="446">
        <v>6.52</v>
      </c>
      <c r="G525" s="308">
        <v>0.23</v>
      </c>
      <c r="H525" s="308">
        <v>0.45</v>
      </c>
      <c r="I525" s="323">
        <f t="shared" si="26"/>
        <v>0.67</v>
      </c>
      <c r="J525" s="307"/>
      <c r="K525" s="117"/>
      <c r="L525" s="117"/>
      <c r="M525" s="117"/>
      <c r="N525" s="116"/>
      <c r="O525" s="116"/>
      <c r="P525" s="116"/>
      <c r="Q525" s="116"/>
      <c r="R525" s="116"/>
      <c r="S525" s="116"/>
      <c r="T525" s="116"/>
      <c r="U525" s="116"/>
      <c r="V525" s="116"/>
      <c r="W525" s="116"/>
      <c r="X525" s="116"/>
      <c r="Y525" s="116"/>
      <c r="Z525" s="116"/>
      <c r="AA525" s="116"/>
      <c r="AB525" s="116"/>
      <c r="AC525" s="116"/>
      <c r="AD525" s="116"/>
    </row>
    <row r="526" spans="1:30" s="115" customFormat="1" ht="24.75" customHeight="1">
      <c r="A526" s="307"/>
      <c r="B526" s="445" t="s">
        <v>93</v>
      </c>
      <c r="C526" s="307">
        <v>1</v>
      </c>
      <c r="D526" s="307">
        <v>1</v>
      </c>
      <c r="E526" s="307">
        <v>1</v>
      </c>
      <c r="F526" s="335">
        <v>2.2999999999999998</v>
      </c>
      <c r="G526" s="308">
        <v>0.23</v>
      </c>
      <c r="H526" s="308">
        <v>0.6</v>
      </c>
      <c r="I526" s="323">
        <f t="shared" si="26"/>
        <v>0.32</v>
      </c>
      <c r="J526" s="307"/>
      <c r="K526" s="117"/>
      <c r="L526" s="117"/>
      <c r="M526" s="117"/>
      <c r="N526" s="116"/>
      <c r="O526" s="116"/>
      <c r="P526" s="116"/>
      <c r="Q526" s="116"/>
      <c r="R526" s="116"/>
      <c r="S526" s="116"/>
      <c r="T526" s="116"/>
      <c r="U526" s="116"/>
      <c r="V526" s="116"/>
      <c r="W526" s="116"/>
      <c r="X526" s="116"/>
      <c r="Y526" s="116"/>
      <c r="Z526" s="116"/>
      <c r="AA526" s="116"/>
      <c r="AB526" s="116"/>
      <c r="AC526" s="116"/>
      <c r="AD526" s="116"/>
    </row>
    <row r="527" spans="1:30" s="115" customFormat="1" ht="24.75" customHeight="1">
      <c r="A527" s="307"/>
      <c r="B527" s="445" t="s">
        <v>853</v>
      </c>
      <c r="C527" s="307">
        <v>1</v>
      </c>
      <c r="D527" s="307">
        <v>1</v>
      </c>
      <c r="E527" s="307">
        <v>2</v>
      </c>
      <c r="F527" s="335">
        <v>38.35</v>
      </c>
      <c r="G527" s="308">
        <v>0.23</v>
      </c>
      <c r="H527" s="308">
        <v>0.4</v>
      </c>
      <c r="I527" s="323">
        <f t="shared" si="26"/>
        <v>7.06</v>
      </c>
      <c r="J527" s="307"/>
      <c r="K527" s="117"/>
      <c r="L527" s="117"/>
      <c r="M527" s="117"/>
      <c r="N527" s="116"/>
      <c r="O527" s="116"/>
      <c r="P527" s="116"/>
      <c r="Q527" s="116"/>
      <c r="R527" s="116"/>
      <c r="S527" s="116"/>
      <c r="T527" s="116"/>
      <c r="U527" s="116"/>
      <c r="V527" s="116"/>
      <c r="W527" s="116"/>
      <c r="X527" s="116"/>
      <c r="Y527" s="116"/>
      <c r="Z527" s="116"/>
      <c r="AA527" s="116"/>
      <c r="AB527" s="116"/>
      <c r="AC527" s="116"/>
      <c r="AD527" s="116"/>
    </row>
    <row r="528" spans="1:30" s="115" customFormat="1" ht="24.75" customHeight="1">
      <c r="A528" s="307"/>
      <c r="B528" s="445" t="s">
        <v>853</v>
      </c>
      <c r="C528" s="307">
        <v>4</v>
      </c>
      <c r="D528" s="307">
        <v>1</v>
      </c>
      <c r="E528" s="307">
        <v>2</v>
      </c>
      <c r="F528" s="446">
        <v>3.6150000000000002</v>
      </c>
      <c r="G528" s="308">
        <v>0.23</v>
      </c>
      <c r="H528" s="308">
        <v>0.2</v>
      </c>
      <c r="I528" s="323">
        <f t="shared" si="26"/>
        <v>1.33</v>
      </c>
      <c r="J528" s="307"/>
      <c r="K528" s="117"/>
      <c r="L528" s="117"/>
      <c r="M528" s="117"/>
      <c r="N528" s="116"/>
      <c r="O528" s="116"/>
      <c r="P528" s="116"/>
      <c r="Q528" s="116"/>
      <c r="R528" s="116"/>
      <c r="S528" s="116"/>
      <c r="T528" s="116"/>
      <c r="U528" s="116"/>
      <c r="V528" s="116"/>
      <c r="W528" s="116"/>
      <c r="X528" s="116"/>
      <c r="Y528" s="116"/>
      <c r="Z528" s="116"/>
      <c r="AA528" s="116"/>
      <c r="AB528" s="116"/>
      <c r="AC528" s="116"/>
      <c r="AD528" s="116"/>
    </row>
    <row r="529" spans="1:30" s="115" customFormat="1" ht="24.75" customHeight="1">
      <c r="A529" s="307"/>
      <c r="B529" s="445" t="s">
        <v>853</v>
      </c>
      <c r="C529" s="307">
        <v>2</v>
      </c>
      <c r="D529" s="307">
        <v>1</v>
      </c>
      <c r="E529" s="307">
        <v>1</v>
      </c>
      <c r="F529" s="446">
        <v>26.704999999999998</v>
      </c>
      <c r="G529" s="308">
        <v>0.23</v>
      </c>
      <c r="H529" s="308">
        <v>0.45</v>
      </c>
      <c r="I529" s="323">
        <f t="shared" si="26"/>
        <v>5.53</v>
      </c>
      <c r="J529" s="307"/>
      <c r="K529" s="117"/>
      <c r="L529" s="117"/>
      <c r="M529" s="117"/>
      <c r="N529" s="116"/>
      <c r="O529" s="116"/>
      <c r="P529" s="116"/>
      <c r="Q529" s="116"/>
      <c r="R529" s="116"/>
      <c r="S529" s="116"/>
      <c r="T529" s="116"/>
      <c r="U529" s="116"/>
      <c r="V529" s="116"/>
      <c r="W529" s="116"/>
      <c r="X529" s="116"/>
      <c r="Y529" s="116"/>
      <c r="Z529" s="116"/>
      <c r="AA529" s="116"/>
      <c r="AB529" s="116"/>
      <c r="AC529" s="116"/>
      <c r="AD529" s="116"/>
    </row>
    <row r="530" spans="1:30" s="115" customFormat="1" ht="24.75" customHeight="1">
      <c r="A530" s="307"/>
      <c r="B530" s="445" t="s">
        <v>853</v>
      </c>
      <c r="C530" s="307">
        <v>3</v>
      </c>
      <c r="D530" s="307">
        <v>1</v>
      </c>
      <c r="E530" s="307">
        <v>1</v>
      </c>
      <c r="F530" s="335">
        <v>1.9</v>
      </c>
      <c r="G530" s="308">
        <v>0.23</v>
      </c>
      <c r="H530" s="308">
        <v>0.3</v>
      </c>
      <c r="I530" s="323">
        <f t="shared" si="26"/>
        <v>0.39</v>
      </c>
      <c r="J530" s="307"/>
      <c r="K530" s="117"/>
      <c r="L530" s="117"/>
      <c r="M530" s="117"/>
      <c r="N530" s="116"/>
      <c r="O530" s="116"/>
      <c r="P530" s="116"/>
      <c r="Q530" s="116"/>
      <c r="R530" s="116"/>
      <c r="S530" s="116"/>
      <c r="T530" s="116"/>
      <c r="U530" s="116"/>
      <c r="V530" s="116"/>
      <c r="W530" s="116"/>
      <c r="X530" s="116"/>
      <c r="Y530" s="116"/>
      <c r="Z530" s="116"/>
      <c r="AA530" s="116"/>
      <c r="AB530" s="116"/>
      <c r="AC530" s="116"/>
      <c r="AD530" s="116"/>
    </row>
    <row r="531" spans="1:30" s="115" customFormat="1" ht="24.75" customHeight="1">
      <c r="A531" s="307"/>
      <c r="B531" s="445" t="s">
        <v>853</v>
      </c>
      <c r="C531" s="307">
        <v>2</v>
      </c>
      <c r="D531" s="307">
        <v>1</v>
      </c>
      <c r="E531" s="307">
        <v>1</v>
      </c>
      <c r="F531" s="335">
        <v>2.85</v>
      </c>
      <c r="G531" s="308">
        <v>0.23</v>
      </c>
      <c r="H531" s="308">
        <v>0.4</v>
      </c>
      <c r="I531" s="323">
        <f t="shared" si="26"/>
        <v>0.52</v>
      </c>
      <c r="J531" s="307"/>
      <c r="K531" s="117"/>
      <c r="L531" s="117"/>
      <c r="M531" s="117"/>
      <c r="N531" s="116"/>
      <c r="O531" s="116"/>
      <c r="P531" s="116"/>
      <c r="Q531" s="116"/>
      <c r="R531" s="116"/>
      <c r="S531" s="116"/>
      <c r="T531" s="116"/>
      <c r="U531" s="116"/>
      <c r="V531" s="116"/>
      <c r="W531" s="116"/>
      <c r="X531" s="116"/>
      <c r="Y531" s="116"/>
      <c r="Z531" s="116"/>
      <c r="AA531" s="116"/>
      <c r="AB531" s="116"/>
      <c r="AC531" s="116"/>
      <c r="AD531" s="116"/>
    </row>
    <row r="532" spans="1:30" s="115" customFormat="1" ht="24.75" customHeight="1">
      <c r="A532" s="307"/>
      <c r="B532" s="445" t="s">
        <v>853</v>
      </c>
      <c r="C532" s="307">
        <v>2</v>
      </c>
      <c r="D532" s="307">
        <v>1</v>
      </c>
      <c r="E532" s="307">
        <v>1</v>
      </c>
      <c r="F532" s="335">
        <v>2.85</v>
      </c>
      <c r="G532" s="308">
        <v>0.23</v>
      </c>
      <c r="H532" s="308">
        <v>0.45</v>
      </c>
      <c r="I532" s="323">
        <f t="shared" si="26"/>
        <v>0.59</v>
      </c>
      <c r="J532" s="307"/>
      <c r="K532" s="117"/>
      <c r="L532" s="117"/>
      <c r="M532" s="117"/>
      <c r="N532" s="116"/>
      <c r="O532" s="116"/>
      <c r="P532" s="116"/>
      <c r="Q532" s="116"/>
      <c r="R532" s="116"/>
      <c r="S532" s="116"/>
      <c r="T532" s="116"/>
      <c r="U532" s="116"/>
      <c r="V532" s="116"/>
      <c r="W532" s="116"/>
      <c r="X532" s="116"/>
      <c r="Y532" s="116"/>
      <c r="Z532" s="116"/>
      <c r="AA532" s="116"/>
      <c r="AB532" s="116"/>
      <c r="AC532" s="116"/>
      <c r="AD532" s="116"/>
    </row>
    <row r="533" spans="1:30" s="115" customFormat="1" ht="24.75" customHeight="1">
      <c r="A533" s="307"/>
      <c r="B533" s="445" t="s">
        <v>853</v>
      </c>
      <c r="C533" s="307">
        <v>1</v>
      </c>
      <c r="D533" s="307">
        <v>1</v>
      </c>
      <c r="E533" s="307">
        <v>1</v>
      </c>
      <c r="F533" s="335">
        <v>6.2</v>
      </c>
      <c r="G533" s="308">
        <v>0.23</v>
      </c>
      <c r="H533" s="308">
        <v>0.45</v>
      </c>
      <c r="I533" s="323">
        <f t="shared" si="26"/>
        <v>0.64</v>
      </c>
      <c r="J533" s="307"/>
      <c r="K533" s="117"/>
      <c r="L533" s="117"/>
      <c r="M533" s="117"/>
      <c r="N533" s="116"/>
      <c r="O533" s="116"/>
      <c r="P533" s="116"/>
      <c r="Q533" s="116"/>
      <c r="R533" s="116"/>
      <c r="S533" s="116"/>
      <c r="T533" s="116"/>
      <c r="U533" s="116"/>
      <c r="V533" s="116"/>
      <c r="W533" s="116"/>
      <c r="X533" s="116"/>
      <c r="Y533" s="116"/>
      <c r="Z533" s="116"/>
      <c r="AA533" s="116"/>
      <c r="AB533" s="116"/>
      <c r="AC533" s="116"/>
      <c r="AD533" s="116"/>
    </row>
    <row r="534" spans="1:30" s="115" customFormat="1" ht="24.75" customHeight="1">
      <c r="A534" s="307"/>
      <c r="B534" s="445" t="s">
        <v>944</v>
      </c>
      <c r="C534" s="307"/>
      <c r="D534" s="307"/>
      <c r="E534" s="307"/>
      <c r="F534" s="335"/>
      <c r="G534" s="308"/>
      <c r="H534" s="308"/>
      <c r="I534" s="323"/>
      <c r="J534" s="448"/>
      <c r="K534" s="117"/>
      <c r="L534" s="117"/>
      <c r="M534" s="117"/>
      <c r="N534" s="116"/>
      <c r="O534" s="116"/>
      <c r="P534" s="116"/>
      <c r="Q534" s="116"/>
      <c r="R534" s="116"/>
      <c r="S534" s="116"/>
      <c r="T534" s="116"/>
      <c r="U534" s="116"/>
      <c r="V534" s="116"/>
      <c r="W534" s="116"/>
      <c r="X534" s="116"/>
      <c r="Y534" s="116"/>
      <c r="Z534" s="116"/>
      <c r="AA534" s="116"/>
      <c r="AB534" s="116"/>
      <c r="AC534" s="116"/>
      <c r="AD534" s="116"/>
    </row>
    <row r="535" spans="1:30" s="6" customFormat="1">
      <c r="A535" s="427"/>
      <c r="B535" s="427" t="s">
        <v>931</v>
      </c>
      <c r="C535" s="428">
        <v>-1</v>
      </c>
      <c r="D535" s="428">
        <v>1</v>
      </c>
      <c r="E535" s="428">
        <v>79</v>
      </c>
      <c r="F535" s="430">
        <v>0.3</v>
      </c>
      <c r="G535" s="430">
        <v>0.45</v>
      </c>
      <c r="H535" s="430">
        <v>0.4</v>
      </c>
      <c r="I535" s="430">
        <f>PRODUCT(C535:H535)</f>
        <v>-4.2699999999999996</v>
      </c>
      <c r="J535" s="431"/>
    </row>
    <row r="536" spans="1:30" s="6" customFormat="1">
      <c r="A536" s="427"/>
      <c r="B536" s="427" t="s">
        <v>75</v>
      </c>
      <c r="C536" s="428">
        <v>-1</v>
      </c>
      <c r="D536" s="428">
        <v>1</v>
      </c>
      <c r="E536" s="428">
        <v>54</v>
      </c>
      <c r="F536" s="430">
        <v>0.3</v>
      </c>
      <c r="G536" s="430">
        <v>0.6</v>
      </c>
      <c r="H536" s="430">
        <v>0.4</v>
      </c>
      <c r="I536" s="430">
        <f>PRODUCT(C536:H536)</f>
        <v>-3.89</v>
      </c>
      <c r="J536" s="431"/>
    </row>
    <row r="537" spans="1:30" s="6" customFormat="1">
      <c r="A537" s="427"/>
      <c r="B537" s="427" t="s">
        <v>76</v>
      </c>
      <c r="C537" s="428">
        <v>-1</v>
      </c>
      <c r="D537" s="428">
        <v>1</v>
      </c>
      <c r="E537" s="428">
        <v>3</v>
      </c>
      <c r="F537" s="430">
        <v>0.3</v>
      </c>
      <c r="G537" s="430">
        <v>0.6</v>
      </c>
      <c r="H537" s="430">
        <v>0.4</v>
      </c>
      <c r="I537" s="430">
        <f>PRODUCT(C537:H537)</f>
        <v>-0.22</v>
      </c>
      <c r="J537" s="431"/>
    </row>
    <row r="538" spans="1:30" s="6" customFormat="1">
      <c r="A538" s="427"/>
      <c r="B538" s="427" t="s">
        <v>485</v>
      </c>
      <c r="C538" s="428">
        <v>-1</v>
      </c>
      <c r="D538" s="428">
        <v>1</v>
      </c>
      <c r="E538" s="428">
        <v>7</v>
      </c>
      <c r="F538" s="430">
        <v>0.3</v>
      </c>
      <c r="G538" s="430">
        <v>0.75</v>
      </c>
      <c r="H538" s="430">
        <v>0.4</v>
      </c>
      <c r="I538" s="430">
        <f>PRODUCT(C538:H538)</f>
        <v>-0.63</v>
      </c>
      <c r="J538" s="431"/>
    </row>
    <row r="539" spans="1:30" s="6" customFormat="1">
      <c r="A539" s="427"/>
      <c r="B539" s="427" t="s">
        <v>487</v>
      </c>
      <c r="C539" s="428">
        <v>-1</v>
      </c>
      <c r="D539" s="428">
        <v>1</v>
      </c>
      <c r="E539" s="428">
        <v>1</v>
      </c>
      <c r="F539" s="430">
        <v>0.38</v>
      </c>
      <c r="G539" s="430">
        <v>0.75</v>
      </c>
      <c r="H539" s="430">
        <v>0.4</v>
      </c>
      <c r="I539" s="430">
        <f>PRODUCT(C539:H539)</f>
        <v>-0.11</v>
      </c>
      <c r="J539" s="431"/>
    </row>
    <row r="540" spans="1:30" s="2" customFormat="1" ht="19.5" customHeight="1">
      <c r="A540" s="278"/>
      <c r="B540" s="319" t="s">
        <v>512</v>
      </c>
      <c r="C540" s="307"/>
      <c r="D540" s="307"/>
      <c r="E540" s="307"/>
      <c r="F540" s="335"/>
      <c r="G540" s="307"/>
      <c r="H540" s="307"/>
      <c r="I540" s="323"/>
      <c r="J540" s="284"/>
      <c r="K540" s="43"/>
      <c r="L540" s="43"/>
      <c r="M540" s="43"/>
      <c r="N540" s="9"/>
      <c r="O540" s="9"/>
      <c r="P540" s="9"/>
      <c r="Q540" s="9"/>
      <c r="R540" s="9"/>
      <c r="S540" s="9"/>
      <c r="T540" s="9"/>
      <c r="U540" s="9"/>
      <c r="V540" s="9"/>
      <c r="W540" s="9"/>
      <c r="X540" s="9"/>
      <c r="Y540" s="9"/>
      <c r="Z540" s="9"/>
      <c r="AA540" s="9"/>
      <c r="AB540" s="9"/>
      <c r="AC540" s="9"/>
      <c r="AD540" s="9"/>
    </row>
    <row r="541" spans="1:30" s="2" customFormat="1" ht="19.5" customHeight="1">
      <c r="A541" s="278"/>
      <c r="B541" s="302" t="s">
        <v>511</v>
      </c>
      <c r="C541" s="294">
        <v>1</v>
      </c>
      <c r="D541" s="294">
        <v>5</v>
      </c>
      <c r="E541" s="294">
        <v>2</v>
      </c>
      <c r="F541" s="300">
        <v>2.4119999999999999</v>
      </c>
      <c r="G541" s="300">
        <v>0.23</v>
      </c>
      <c r="H541" s="295">
        <v>0.4</v>
      </c>
      <c r="I541" s="298">
        <f>PRODUCT(C541:H541)</f>
        <v>2.2200000000000002</v>
      </c>
      <c r="J541" s="284"/>
      <c r="K541" s="43"/>
      <c r="L541" s="43"/>
      <c r="M541" s="43"/>
      <c r="N541" s="9"/>
      <c r="O541" s="9"/>
      <c r="P541" s="9"/>
      <c r="Q541" s="9"/>
      <c r="R541" s="9"/>
      <c r="S541" s="9"/>
      <c r="T541" s="9"/>
      <c r="U541" s="9"/>
      <c r="V541" s="9"/>
      <c r="W541" s="9"/>
      <c r="X541" s="9"/>
      <c r="Y541" s="9"/>
      <c r="Z541" s="9"/>
      <c r="AA541" s="9"/>
      <c r="AB541" s="9"/>
      <c r="AC541" s="9"/>
      <c r="AD541" s="9"/>
    </row>
    <row r="542" spans="1:30" s="2" customFormat="1" ht="19.5" customHeight="1">
      <c r="A542" s="278"/>
      <c r="B542" s="302" t="s">
        <v>510</v>
      </c>
      <c r="C542" s="294">
        <v>1</v>
      </c>
      <c r="D542" s="294">
        <v>5</v>
      </c>
      <c r="E542" s="294">
        <v>1</v>
      </c>
      <c r="F542" s="300">
        <v>2.4</v>
      </c>
      <c r="G542" s="300">
        <v>0.115</v>
      </c>
      <c r="H542" s="295">
        <v>0.4</v>
      </c>
      <c r="I542" s="298">
        <f>PRODUCT(C542:H542)</f>
        <v>0.55000000000000004</v>
      </c>
      <c r="J542" s="284"/>
      <c r="K542" s="43"/>
      <c r="L542" s="43"/>
      <c r="M542" s="43"/>
      <c r="N542" s="9"/>
      <c r="O542" s="9"/>
      <c r="P542" s="9"/>
      <c r="Q542" s="9"/>
      <c r="R542" s="9"/>
      <c r="S542" s="9"/>
      <c r="T542" s="9"/>
      <c r="U542" s="9"/>
      <c r="V542" s="9"/>
      <c r="W542" s="9"/>
      <c r="X542" s="9"/>
      <c r="Y542" s="9"/>
      <c r="Z542" s="9"/>
      <c r="AA542" s="9"/>
      <c r="AB542" s="9"/>
      <c r="AC542" s="9"/>
      <c r="AD542" s="9"/>
    </row>
    <row r="543" spans="1:30" s="2" customFormat="1" ht="19.5" customHeight="1">
      <c r="A543" s="278"/>
      <c r="B543" s="302" t="s">
        <v>509</v>
      </c>
      <c r="C543" s="307">
        <v>1</v>
      </c>
      <c r="D543" s="307">
        <v>5</v>
      </c>
      <c r="E543" s="307">
        <v>2</v>
      </c>
      <c r="F543" s="317">
        <v>0.6</v>
      </c>
      <c r="G543" s="317">
        <v>0.23</v>
      </c>
      <c r="H543" s="308">
        <v>0.4</v>
      </c>
      <c r="I543" s="323">
        <f>PRODUCT(C543:H543)</f>
        <v>0.55000000000000004</v>
      </c>
      <c r="J543" s="284"/>
      <c r="K543" s="43"/>
      <c r="L543" s="43"/>
      <c r="M543" s="43"/>
      <c r="N543" s="9"/>
      <c r="O543" s="9"/>
      <c r="P543" s="9"/>
      <c r="Q543" s="9"/>
      <c r="R543" s="9"/>
      <c r="S543" s="9"/>
      <c r="T543" s="9"/>
      <c r="U543" s="9"/>
      <c r="V543" s="9"/>
      <c r="W543" s="9"/>
      <c r="X543" s="9"/>
      <c r="Y543" s="9"/>
      <c r="Z543" s="9"/>
      <c r="AA543" s="9"/>
      <c r="AB543" s="9"/>
      <c r="AC543" s="9"/>
      <c r="AD543" s="9"/>
    </row>
    <row r="544" spans="1:30" s="2" customFormat="1" ht="19.5" customHeight="1">
      <c r="A544" s="278"/>
      <c r="B544" s="302" t="s">
        <v>510</v>
      </c>
      <c r="C544" s="294">
        <v>1</v>
      </c>
      <c r="D544" s="294">
        <v>5</v>
      </c>
      <c r="E544" s="294">
        <v>1</v>
      </c>
      <c r="F544" s="300">
        <v>2.35</v>
      </c>
      <c r="G544" s="300">
        <v>0.115</v>
      </c>
      <c r="H544" s="295">
        <v>0.4</v>
      </c>
      <c r="I544" s="298">
        <f>PRODUCT(C544:H544)</f>
        <v>0.54</v>
      </c>
      <c r="J544" s="284"/>
      <c r="K544" s="43"/>
      <c r="L544" s="43"/>
      <c r="M544" s="43"/>
      <c r="N544" s="9"/>
      <c r="O544" s="9"/>
      <c r="P544" s="9"/>
      <c r="Q544" s="9"/>
      <c r="R544" s="9"/>
      <c r="S544" s="9"/>
      <c r="T544" s="9"/>
      <c r="U544" s="9"/>
      <c r="V544" s="9"/>
      <c r="W544" s="9"/>
      <c r="X544" s="9"/>
      <c r="Y544" s="9"/>
      <c r="Z544" s="9"/>
      <c r="AA544" s="9"/>
      <c r="AB544" s="9"/>
      <c r="AC544" s="9"/>
      <c r="AD544" s="9"/>
    </row>
    <row r="545" spans="1:30" s="2" customFormat="1" ht="19.5" customHeight="1">
      <c r="A545" s="278"/>
      <c r="B545" s="302" t="s">
        <v>509</v>
      </c>
      <c r="C545" s="307">
        <v>1</v>
      </c>
      <c r="D545" s="307">
        <v>5</v>
      </c>
      <c r="E545" s="307">
        <v>2</v>
      </c>
      <c r="F545" s="317">
        <v>0.6</v>
      </c>
      <c r="G545" s="317">
        <v>0.23</v>
      </c>
      <c r="H545" s="308">
        <v>0.4</v>
      </c>
      <c r="I545" s="323">
        <f>PRODUCT(C545:H545)</f>
        <v>0.55000000000000004</v>
      </c>
      <c r="J545" s="284"/>
      <c r="K545" s="43"/>
      <c r="L545" s="43"/>
      <c r="M545" s="43"/>
      <c r="N545" s="9"/>
      <c r="O545" s="9"/>
      <c r="P545" s="9"/>
      <c r="Q545" s="9"/>
      <c r="R545" s="9"/>
      <c r="S545" s="9"/>
      <c r="T545" s="9"/>
      <c r="U545" s="9"/>
      <c r="V545" s="9"/>
      <c r="W545" s="9"/>
      <c r="X545" s="9"/>
      <c r="Y545" s="9"/>
      <c r="Z545" s="9"/>
      <c r="AA545" s="9"/>
      <c r="AB545" s="9"/>
      <c r="AC545" s="9"/>
      <c r="AD545" s="9"/>
    </row>
    <row r="546" spans="1:30" s="2" customFormat="1" ht="21" customHeight="1">
      <c r="A546" s="278"/>
      <c r="B546" s="279"/>
      <c r="C546" s="280"/>
      <c r="D546" s="280"/>
      <c r="E546" s="280"/>
      <c r="F546" s="463"/>
      <c r="G546" s="282"/>
      <c r="H546" s="282"/>
      <c r="I546" s="416">
        <f>SUM(I416:I545)</f>
        <v>278.86</v>
      </c>
      <c r="J546" s="343" t="s">
        <v>21</v>
      </c>
      <c r="K546" s="39"/>
      <c r="L546" s="39"/>
      <c r="M546" s="39"/>
      <c r="N546" s="9"/>
      <c r="O546" s="9"/>
      <c r="P546" s="9"/>
      <c r="Q546" s="9"/>
      <c r="R546" s="9"/>
      <c r="S546" s="9"/>
      <c r="T546" s="9"/>
      <c r="U546" s="9"/>
      <c r="V546" s="9"/>
      <c r="W546" s="9"/>
      <c r="X546" s="9"/>
      <c r="Y546" s="9"/>
      <c r="Z546" s="9"/>
      <c r="AA546" s="9"/>
      <c r="AB546" s="9"/>
      <c r="AC546" s="9"/>
      <c r="AD546" s="9"/>
    </row>
    <row r="547" spans="1:30" s="2" customFormat="1" ht="21" customHeight="1">
      <c r="A547" s="278"/>
      <c r="B547" s="279"/>
      <c r="C547" s="280"/>
      <c r="D547" s="280"/>
      <c r="E547" s="280"/>
      <c r="F547" s="463"/>
      <c r="G547" s="282"/>
      <c r="H547" s="282"/>
      <c r="I547" s="416">
        <f>ROUNDUP(I546,1)</f>
        <v>278.89999999999998</v>
      </c>
      <c r="J547" s="343"/>
      <c r="K547" s="39"/>
      <c r="L547" s="39"/>
      <c r="M547" s="39"/>
      <c r="N547" s="9"/>
      <c r="O547" s="9"/>
      <c r="P547" s="9"/>
      <c r="Q547" s="9"/>
      <c r="R547" s="9"/>
      <c r="S547" s="9"/>
      <c r="T547" s="9"/>
      <c r="U547" s="9"/>
      <c r="V547" s="9"/>
      <c r="W547" s="9"/>
      <c r="X547" s="9"/>
      <c r="Y547" s="9"/>
      <c r="Z547" s="9"/>
      <c r="AA547" s="9"/>
      <c r="AB547" s="9"/>
      <c r="AC547" s="9"/>
      <c r="AD547" s="9"/>
    </row>
    <row r="548" spans="1:30" s="2" customFormat="1" ht="21" customHeight="1">
      <c r="A548" s="278"/>
      <c r="B548" s="286" t="s">
        <v>296</v>
      </c>
      <c r="C548" s="280"/>
      <c r="D548" s="280"/>
      <c r="E548" s="280"/>
      <c r="F548" s="463"/>
      <c r="G548" s="282"/>
      <c r="H548" s="282"/>
      <c r="I548" s="283"/>
      <c r="J548" s="284"/>
      <c r="K548" s="43"/>
      <c r="L548" s="43"/>
      <c r="M548" s="43"/>
      <c r="N548" s="9"/>
      <c r="O548" s="9"/>
      <c r="P548" s="9"/>
      <c r="Q548" s="9"/>
      <c r="R548" s="9"/>
      <c r="S548" s="9"/>
      <c r="T548" s="9"/>
      <c r="U548" s="9"/>
      <c r="V548" s="9"/>
      <c r="W548" s="9"/>
      <c r="X548" s="9"/>
      <c r="Y548" s="9"/>
      <c r="Z548" s="9"/>
      <c r="AA548" s="9"/>
      <c r="AB548" s="9"/>
      <c r="AC548" s="9"/>
      <c r="AD548" s="9"/>
    </row>
    <row r="549" spans="1:30" s="2" customFormat="1" ht="21" customHeight="1">
      <c r="A549" s="278"/>
      <c r="B549" s="286" t="s">
        <v>283</v>
      </c>
      <c r="C549" s="280"/>
      <c r="D549" s="280"/>
      <c r="E549" s="280"/>
      <c r="F549" s="463"/>
      <c r="G549" s="282"/>
      <c r="H549" s="282"/>
      <c r="I549" s="416">
        <f>I547</f>
        <v>278.89999999999998</v>
      </c>
      <c r="J549" s="343" t="s">
        <v>21</v>
      </c>
      <c r="K549" s="44"/>
      <c r="L549" s="44"/>
      <c r="M549" s="44"/>
      <c r="N549" s="9"/>
      <c r="O549" s="9"/>
      <c r="P549" s="9"/>
      <c r="Q549" s="9"/>
      <c r="R549" s="9"/>
      <c r="S549" s="9"/>
      <c r="T549" s="9"/>
      <c r="U549" s="9"/>
      <c r="V549" s="9"/>
      <c r="W549" s="9"/>
      <c r="X549" s="9"/>
      <c r="Y549" s="9"/>
      <c r="Z549" s="9"/>
      <c r="AA549" s="9"/>
      <c r="AB549" s="9"/>
      <c r="AC549" s="9"/>
      <c r="AD549" s="9"/>
    </row>
    <row r="550" spans="1:30" s="2" customFormat="1" ht="21" customHeight="1">
      <c r="A550" s="278"/>
      <c r="B550" s="286" t="s">
        <v>295</v>
      </c>
      <c r="C550" s="280"/>
      <c r="D550" s="280"/>
      <c r="E550" s="280"/>
      <c r="F550" s="463"/>
      <c r="G550" s="282"/>
      <c r="H550" s="282"/>
      <c r="I550" s="416"/>
      <c r="J550" s="284"/>
      <c r="K550" s="43"/>
      <c r="L550" s="43"/>
      <c r="M550" s="43"/>
      <c r="N550" s="9"/>
      <c r="O550" s="9"/>
      <c r="P550" s="9"/>
      <c r="Q550" s="9"/>
      <c r="R550" s="9"/>
      <c r="S550" s="9"/>
      <c r="T550" s="9"/>
      <c r="U550" s="9"/>
      <c r="V550" s="9"/>
      <c r="W550" s="9"/>
      <c r="X550" s="9"/>
      <c r="Y550" s="9"/>
      <c r="Z550" s="9"/>
      <c r="AA550" s="9"/>
      <c r="AB550" s="9"/>
      <c r="AC550" s="9"/>
      <c r="AD550" s="9"/>
    </row>
    <row r="551" spans="1:30" s="2" customFormat="1" ht="21" customHeight="1">
      <c r="A551" s="278"/>
      <c r="B551" s="286" t="s">
        <v>283</v>
      </c>
      <c r="C551" s="280"/>
      <c r="D551" s="280"/>
      <c r="E551" s="280"/>
      <c r="F551" s="463"/>
      <c r="G551" s="282"/>
      <c r="H551" s="282"/>
      <c r="I551" s="416">
        <f>I549</f>
        <v>278.89999999999998</v>
      </c>
      <c r="J551" s="343" t="s">
        <v>21</v>
      </c>
      <c r="K551" s="44"/>
      <c r="L551" s="44"/>
      <c r="M551" s="44"/>
      <c r="N551" s="9"/>
      <c r="O551" s="9"/>
      <c r="P551" s="9"/>
      <c r="Q551" s="9"/>
      <c r="R551" s="9"/>
      <c r="S551" s="9"/>
      <c r="T551" s="9"/>
      <c r="U551" s="9"/>
      <c r="V551" s="9"/>
      <c r="W551" s="9"/>
      <c r="X551" s="9"/>
      <c r="Y551" s="9"/>
      <c r="Z551" s="9"/>
      <c r="AA551" s="9"/>
      <c r="AB551" s="9"/>
      <c r="AC551" s="9"/>
      <c r="AD551" s="9"/>
    </row>
    <row r="552" spans="1:30" s="2" customFormat="1" ht="21" customHeight="1">
      <c r="A552" s="278"/>
      <c r="B552" s="286" t="s">
        <v>294</v>
      </c>
      <c r="C552" s="280"/>
      <c r="D552" s="280"/>
      <c r="E552" s="280"/>
      <c r="F552" s="463"/>
      <c r="G552" s="282"/>
      <c r="H552" s="282"/>
      <c r="I552" s="416"/>
      <c r="J552" s="284"/>
      <c r="K552" s="43"/>
      <c r="L552" s="43"/>
      <c r="M552" s="43"/>
      <c r="N552" s="9"/>
      <c r="O552" s="9"/>
      <c r="P552" s="9"/>
      <c r="Q552" s="9"/>
      <c r="R552" s="9"/>
      <c r="S552" s="9"/>
      <c r="T552" s="9"/>
      <c r="U552" s="9"/>
      <c r="V552" s="9"/>
      <c r="W552" s="9"/>
      <c r="X552" s="9"/>
      <c r="Y552" s="9"/>
      <c r="Z552" s="9"/>
      <c r="AA552" s="9"/>
      <c r="AB552" s="9"/>
      <c r="AC552" s="9"/>
      <c r="AD552" s="9"/>
    </row>
    <row r="553" spans="1:30" s="2" customFormat="1" ht="21" customHeight="1">
      <c r="A553" s="278"/>
      <c r="B553" s="286" t="s">
        <v>283</v>
      </c>
      <c r="C553" s="280"/>
      <c r="D553" s="280"/>
      <c r="E553" s="280"/>
      <c r="F553" s="463"/>
      <c r="G553" s="282"/>
      <c r="H553" s="282"/>
      <c r="I553" s="416">
        <f>I551</f>
        <v>278.89999999999998</v>
      </c>
      <c r="J553" s="343" t="s">
        <v>21</v>
      </c>
      <c r="K553" s="44"/>
      <c r="L553" s="44"/>
      <c r="M553" s="44"/>
      <c r="N553" s="9"/>
      <c r="O553" s="9"/>
      <c r="P553" s="9"/>
      <c r="Q553" s="9"/>
      <c r="R553" s="9"/>
      <c r="S553" s="9"/>
      <c r="T553" s="9"/>
      <c r="U553" s="9"/>
      <c r="V553" s="9"/>
      <c r="W553" s="9"/>
      <c r="X553" s="9"/>
      <c r="Y553" s="9"/>
      <c r="Z553" s="9"/>
      <c r="AA553" s="9"/>
      <c r="AB553" s="9"/>
      <c r="AC553" s="9"/>
      <c r="AD553" s="9"/>
    </row>
    <row r="554" spans="1:30" s="2" customFormat="1" ht="21" customHeight="1">
      <c r="A554" s="278"/>
      <c r="B554" s="286" t="s">
        <v>293</v>
      </c>
      <c r="C554" s="280"/>
      <c r="D554" s="280"/>
      <c r="E554" s="280"/>
      <c r="F554" s="463"/>
      <c r="G554" s="282"/>
      <c r="H554" s="282"/>
      <c r="I554" s="416"/>
      <c r="J554" s="284"/>
      <c r="K554" s="43"/>
      <c r="L554" s="43"/>
      <c r="M554" s="43"/>
      <c r="N554" s="9"/>
      <c r="O554" s="9"/>
      <c r="P554" s="9"/>
      <c r="Q554" s="9"/>
      <c r="R554" s="9"/>
      <c r="S554" s="9"/>
      <c r="T554" s="9"/>
      <c r="U554" s="9"/>
      <c r="V554" s="9"/>
      <c r="W554" s="9"/>
      <c r="X554" s="9"/>
      <c r="Y554" s="9"/>
      <c r="Z554" s="9"/>
      <c r="AA554" s="9"/>
      <c r="AB554" s="9"/>
      <c r="AC554" s="9"/>
      <c r="AD554" s="9"/>
    </row>
    <row r="555" spans="1:30" s="2" customFormat="1" ht="21" customHeight="1">
      <c r="A555" s="278"/>
      <c r="B555" s="286" t="s">
        <v>283</v>
      </c>
      <c r="C555" s="280"/>
      <c r="D555" s="280"/>
      <c r="E555" s="280"/>
      <c r="F555" s="463"/>
      <c r="G555" s="597" t="s">
        <v>41</v>
      </c>
      <c r="H555" s="598"/>
      <c r="I555" s="416">
        <f>I553</f>
        <v>278.89999999999998</v>
      </c>
      <c r="J555" s="343" t="s">
        <v>21</v>
      </c>
      <c r="K555" s="44"/>
      <c r="L555" s="44"/>
      <c r="M555" s="44"/>
      <c r="N555" s="9"/>
      <c r="O555" s="9"/>
      <c r="P555" s="9"/>
      <c r="Q555" s="9"/>
      <c r="R555" s="9"/>
      <c r="S555" s="9"/>
      <c r="T555" s="9"/>
      <c r="U555" s="9"/>
      <c r="V555" s="9"/>
      <c r="W555" s="9"/>
      <c r="X555" s="9"/>
      <c r="Y555" s="9"/>
      <c r="Z555" s="9"/>
      <c r="AA555" s="9"/>
      <c r="AB555" s="9"/>
      <c r="AC555" s="9"/>
      <c r="AD555" s="9"/>
    </row>
    <row r="556" spans="1:30" s="2" customFormat="1" ht="21" customHeight="1">
      <c r="A556" s="278"/>
      <c r="B556" s="286" t="s">
        <v>292</v>
      </c>
      <c r="C556" s="280"/>
      <c r="D556" s="280"/>
      <c r="E556" s="280"/>
      <c r="F556" s="463"/>
      <c r="G556" s="282"/>
      <c r="H556" s="282"/>
      <c r="I556" s="416"/>
      <c r="J556" s="284"/>
      <c r="K556" s="43"/>
      <c r="L556" s="43"/>
      <c r="M556" s="43"/>
      <c r="N556" s="9"/>
      <c r="O556" s="9"/>
      <c r="P556" s="9"/>
      <c r="Q556" s="9"/>
      <c r="R556" s="9"/>
      <c r="S556" s="9"/>
      <c r="T556" s="9"/>
      <c r="U556" s="9"/>
      <c r="V556" s="9"/>
      <c r="W556" s="9"/>
      <c r="X556" s="9"/>
      <c r="Y556" s="9"/>
      <c r="Z556" s="9"/>
      <c r="AA556" s="9"/>
      <c r="AB556" s="9"/>
      <c r="AC556" s="9"/>
      <c r="AD556" s="9"/>
    </row>
    <row r="557" spans="1:30" s="2" customFormat="1" ht="21" customHeight="1">
      <c r="A557" s="278"/>
      <c r="B557" s="286" t="s">
        <v>283</v>
      </c>
      <c r="C557" s="280"/>
      <c r="D557" s="280"/>
      <c r="E557" s="280"/>
      <c r="F557" s="463"/>
      <c r="G557" s="282"/>
      <c r="H557" s="282"/>
      <c r="I557" s="416">
        <f>I555</f>
        <v>278.89999999999998</v>
      </c>
      <c r="J557" s="343" t="s">
        <v>21</v>
      </c>
      <c r="K557" s="44"/>
      <c r="L557" s="44"/>
      <c r="M557" s="44"/>
      <c r="N557" s="9"/>
      <c r="O557" s="9"/>
      <c r="P557" s="9"/>
      <c r="Q557" s="9"/>
      <c r="R557" s="9"/>
      <c r="S557" s="9"/>
      <c r="T557" s="9"/>
      <c r="U557" s="9"/>
      <c r="V557" s="9"/>
      <c r="W557" s="9"/>
      <c r="X557" s="9"/>
      <c r="Y557" s="9"/>
      <c r="Z557" s="9"/>
      <c r="AA557" s="9"/>
      <c r="AB557" s="9"/>
      <c r="AC557" s="9"/>
      <c r="AD557" s="9"/>
    </row>
    <row r="558" spans="1:30" s="2" customFormat="1" ht="21" customHeight="1">
      <c r="A558" s="278"/>
      <c r="B558" s="286" t="s">
        <v>291</v>
      </c>
      <c r="C558" s="280"/>
      <c r="D558" s="280"/>
      <c r="E558" s="280"/>
      <c r="F558" s="463"/>
      <c r="G558" s="282"/>
      <c r="H558" s="282"/>
      <c r="I558" s="416"/>
      <c r="J558" s="284"/>
      <c r="K558" s="43"/>
      <c r="L558" s="43"/>
      <c r="M558" s="43"/>
      <c r="N558" s="9"/>
      <c r="O558" s="9"/>
      <c r="P558" s="9"/>
      <c r="Q558" s="9"/>
      <c r="R558" s="9"/>
      <c r="S558" s="9"/>
      <c r="T558" s="9"/>
      <c r="U558" s="9"/>
      <c r="V558" s="9"/>
      <c r="W558" s="9"/>
      <c r="X558" s="9"/>
      <c r="Y558" s="9"/>
      <c r="Z558" s="9"/>
      <c r="AA558" s="9"/>
      <c r="AB558" s="9"/>
      <c r="AC558" s="9"/>
      <c r="AD558" s="9"/>
    </row>
    <row r="559" spans="1:30" s="2" customFormat="1" ht="21" customHeight="1">
      <c r="A559" s="278"/>
      <c r="B559" s="286" t="s">
        <v>283</v>
      </c>
      <c r="C559" s="280"/>
      <c r="D559" s="280"/>
      <c r="E559" s="280"/>
      <c r="F559" s="463"/>
      <c r="G559" s="282"/>
      <c r="H559" s="282"/>
      <c r="I559" s="416">
        <f>I557</f>
        <v>278.89999999999998</v>
      </c>
      <c r="J559" s="343" t="s">
        <v>21</v>
      </c>
      <c r="K559" s="44"/>
      <c r="L559" s="44"/>
      <c r="M559" s="44"/>
      <c r="N559" s="9"/>
      <c r="O559" s="9"/>
      <c r="P559" s="9"/>
      <c r="Q559" s="9"/>
      <c r="R559" s="9"/>
      <c r="S559" s="9"/>
      <c r="T559" s="9"/>
      <c r="U559" s="9"/>
      <c r="V559" s="9"/>
      <c r="W559" s="9"/>
      <c r="X559" s="9"/>
      <c r="Y559" s="9"/>
      <c r="Z559" s="9"/>
      <c r="AA559" s="9"/>
      <c r="AB559" s="9"/>
      <c r="AC559" s="9"/>
      <c r="AD559" s="9"/>
    </row>
    <row r="560" spans="1:30" s="2" customFormat="1" ht="21" customHeight="1">
      <c r="A560" s="278"/>
      <c r="B560" s="286" t="s">
        <v>290</v>
      </c>
      <c r="C560" s="280"/>
      <c r="D560" s="280"/>
      <c r="E560" s="280"/>
      <c r="F560" s="463"/>
      <c r="G560" s="282"/>
      <c r="H560" s="282"/>
      <c r="I560" s="416"/>
      <c r="J560" s="284"/>
      <c r="K560" s="43"/>
      <c r="L560" s="43"/>
      <c r="M560" s="43"/>
      <c r="N560" s="9"/>
      <c r="O560" s="9"/>
      <c r="P560" s="9"/>
      <c r="Q560" s="9"/>
      <c r="R560" s="9"/>
      <c r="S560" s="9"/>
      <c r="T560" s="9"/>
      <c r="U560" s="9"/>
      <c r="V560" s="9"/>
      <c r="W560" s="9"/>
      <c r="X560" s="9"/>
      <c r="Y560" s="9"/>
      <c r="Z560" s="9"/>
      <c r="AA560" s="9"/>
      <c r="AB560" s="9"/>
      <c r="AC560" s="9"/>
      <c r="AD560" s="9"/>
    </row>
    <row r="561" spans="1:30" s="2" customFormat="1" ht="21" customHeight="1">
      <c r="A561" s="278"/>
      <c r="B561" s="286" t="s">
        <v>283</v>
      </c>
      <c r="C561" s="280"/>
      <c r="D561" s="280"/>
      <c r="E561" s="280"/>
      <c r="F561" s="463"/>
      <c r="G561" s="282"/>
      <c r="H561" s="282"/>
      <c r="I561" s="416">
        <f>I559</f>
        <v>278.89999999999998</v>
      </c>
      <c r="J561" s="343" t="s">
        <v>21</v>
      </c>
      <c r="K561" s="44"/>
      <c r="L561" s="44"/>
      <c r="M561" s="44"/>
      <c r="N561" s="9"/>
      <c r="O561" s="9"/>
      <c r="P561" s="9"/>
      <c r="Q561" s="9"/>
      <c r="R561" s="9"/>
      <c r="S561" s="9"/>
      <c r="T561" s="9"/>
      <c r="U561" s="9"/>
      <c r="V561" s="9"/>
      <c r="W561" s="9"/>
      <c r="X561" s="9"/>
      <c r="Y561" s="9"/>
      <c r="Z561" s="9"/>
      <c r="AA561" s="9"/>
      <c r="AB561" s="9"/>
      <c r="AC561" s="9"/>
      <c r="AD561" s="9"/>
    </row>
    <row r="562" spans="1:30" s="2" customFormat="1" ht="21" customHeight="1">
      <c r="A562" s="278"/>
      <c r="B562" s="286" t="s">
        <v>289</v>
      </c>
      <c r="C562" s="280"/>
      <c r="D562" s="280"/>
      <c r="E562" s="280"/>
      <c r="F562" s="463"/>
      <c r="G562" s="282"/>
      <c r="H562" s="282"/>
      <c r="I562" s="416"/>
      <c r="J562" s="284"/>
      <c r="K562" s="43"/>
      <c r="L562" s="43"/>
      <c r="M562" s="43"/>
      <c r="N562" s="9"/>
      <c r="O562" s="9"/>
      <c r="P562" s="9"/>
      <c r="Q562" s="9"/>
      <c r="R562" s="9"/>
      <c r="S562" s="9"/>
      <c r="T562" s="9"/>
      <c r="U562" s="9"/>
      <c r="V562" s="9"/>
      <c r="W562" s="9"/>
      <c r="X562" s="9"/>
      <c r="Y562" s="9"/>
      <c r="Z562" s="9"/>
      <c r="AA562" s="9"/>
      <c r="AB562" s="9"/>
      <c r="AC562" s="9"/>
      <c r="AD562" s="9"/>
    </row>
    <row r="563" spans="1:30" s="2" customFormat="1" ht="21" customHeight="1">
      <c r="A563" s="278"/>
      <c r="B563" s="286" t="s">
        <v>283</v>
      </c>
      <c r="C563" s="280"/>
      <c r="D563" s="280"/>
      <c r="E563" s="280"/>
      <c r="F563" s="463"/>
      <c r="G563" s="282"/>
      <c r="H563" s="282"/>
      <c r="I563" s="416">
        <f>I561</f>
        <v>278.89999999999998</v>
      </c>
      <c r="J563" s="343" t="s">
        <v>21</v>
      </c>
      <c r="K563" s="44"/>
      <c r="L563" s="44"/>
      <c r="M563" s="44"/>
      <c r="N563" s="9"/>
      <c r="O563" s="9"/>
      <c r="P563" s="9"/>
      <c r="Q563" s="9"/>
      <c r="R563" s="9"/>
      <c r="S563" s="9"/>
      <c r="T563" s="9"/>
      <c r="U563" s="9"/>
      <c r="V563" s="9"/>
      <c r="W563" s="9"/>
      <c r="X563" s="9"/>
      <c r="Y563" s="9"/>
      <c r="Z563" s="9"/>
      <c r="AA563" s="9"/>
      <c r="AB563" s="9"/>
      <c r="AC563" s="9"/>
      <c r="AD563" s="9"/>
    </row>
    <row r="564" spans="1:30" s="2" customFormat="1" ht="21" customHeight="1">
      <c r="A564" s="278"/>
      <c r="B564" s="286" t="s">
        <v>840</v>
      </c>
      <c r="C564" s="280"/>
      <c r="D564" s="280"/>
      <c r="E564" s="280"/>
      <c r="F564" s="463"/>
      <c r="G564" s="282"/>
      <c r="H564" s="282"/>
      <c r="I564" s="416"/>
      <c r="J564" s="284"/>
      <c r="K564" s="43"/>
      <c r="L564" s="43"/>
      <c r="M564" s="43"/>
      <c r="N564" s="9"/>
      <c r="O564" s="9"/>
      <c r="P564" s="9"/>
      <c r="Q564" s="9"/>
      <c r="R564" s="9"/>
      <c r="S564" s="9"/>
      <c r="T564" s="9"/>
      <c r="U564" s="9"/>
      <c r="V564" s="9"/>
      <c r="W564" s="9"/>
      <c r="X564" s="9"/>
      <c r="Y564" s="9"/>
      <c r="Z564" s="9"/>
      <c r="AA564" s="9"/>
      <c r="AB564" s="9"/>
      <c r="AC564" s="9"/>
      <c r="AD564" s="9"/>
    </row>
    <row r="565" spans="1:30" s="2" customFormat="1" ht="21" customHeight="1">
      <c r="A565" s="278"/>
      <c r="B565" s="286" t="s">
        <v>283</v>
      </c>
      <c r="C565" s="280"/>
      <c r="D565" s="280"/>
      <c r="E565" s="280"/>
      <c r="F565" s="463"/>
      <c r="G565" s="282"/>
      <c r="H565" s="282"/>
      <c r="I565" s="416">
        <f>I563</f>
        <v>278.89999999999998</v>
      </c>
      <c r="J565" s="343" t="s">
        <v>21</v>
      </c>
      <c r="K565" s="44"/>
      <c r="L565" s="44"/>
      <c r="M565" s="44"/>
      <c r="N565" s="9"/>
      <c r="O565" s="9"/>
      <c r="P565" s="9"/>
      <c r="Q565" s="9"/>
      <c r="R565" s="9"/>
      <c r="S565" s="9"/>
      <c r="T565" s="9"/>
      <c r="U565" s="9"/>
      <c r="V565" s="9"/>
      <c r="W565" s="9"/>
      <c r="X565" s="9"/>
      <c r="Y565" s="9"/>
      <c r="Z565" s="9"/>
      <c r="AA565" s="9"/>
      <c r="AB565" s="9"/>
      <c r="AC565" s="9"/>
      <c r="AD565" s="9"/>
    </row>
    <row r="566" spans="1:30" s="107" customFormat="1" ht="24" customHeight="1">
      <c r="A566" s="305"/>
      <c r="B566" s="306" t="s">
        <v>468</v>
      </c>
      <c r="C566" s="306"/>
      <c r="D566" s="307"/>
      <c r="E566" s="302"/>
      <c r="F566" s="302"/>
      <c r="G566" s="302"/>
      <c r="H566" s="308"/>
      <c r="I566" s="309"/>
      <c r="J566" s="305"/>
    </row>
    <row r="567" spans="1:30" s="64" customFormat="1" ht="21.75" customHeight="1">
      <c r="A567" s="307"/>
      <c r="B567" s="293" t="s">
        <v>811</v>
      </c>
      <c r="C567" s="307">
        <v>1</v>
      </c>
      <c r="D567" s="307">
        <v>1</v>
      </c>
      <c r="E567" s="307">
        <v>1</v>
      </c>
      <c r="F567" s="317">
        <v>271.57799999999997</v>
      </c>
      <c r="G567" s="307">
        <v>0.115</v>
      </c>
      <c r="H567" s="308">
        <v>1.5</v>
      </c>
      <c r="I567" s="323">
        <f>PRODUCT(C567:H567)</f>
        <v>46.85</v>
      </c>
      <c r="J567" s="322"/>
      <c r="K567" s="65"/>
      <c r="L567" s="65"/>
      <c r="M567" s="65"/>
      <c r="N567" s="83">
        <f>1.43+1.215+7.465+5.465+2.36+2.2+0.514+1.184+6.53+1.215+1.43+11.73+1.43+1.215+6.53+1.184+0.514+1.7+2.36+5.465+7.465+1.215+61.43+11.73+1.43+1.215+7.465+5.465+2.36+1.85+0.62+1.184+6.53+1.215+1.43+11.73+1.43+1.215+6.53+1.184+2.28+1.724+0.415+7.465+1.215+1.43+11.73</f>
        <v>224.08799999999999</v>
      </c>
      <c r="O567" s="65"/>
      <c r="P567" s="65"/>
      <c r="Q567" s="65"/>
      <c r="R567" s="65"/>
      <c r="S567" s="65"/>
      <c r="T567" s="65"/>
      <c r="U567" s="65"/>
      <c r="V567" s="65"/>
      <c r="W567" s="65"/>
      <c r="X567" s="65"/>
      <c r="Y567" s="65"/>
      <c r="Z567" s="65"/>
      <c r="AA567" s="65"/>
      <c r="AB567" s="65"/>
      <c r="AC567" s="65"/>
      <c r="AD567" s="65"/>
    </row>
    <row r="568" spans="1:30" s="107" customFormat="1" ht="24" customHeight="1">
      <c r="A568" s="305"/>
      <c r="B568" s="310" t="s">
        <v>489</v>
      </c>
      <c r="C568" s="294"/>
      <c r="D568" s="294"/>
      <c r="E568" s="294"/>
      <c r="F568" s="294"/>
      <c r="G568" s="294"/>
      <c r="H568" s="289"/>
      <c r="I568" s="418"/>
      <c r="J568" s="305"/>
    </row>
    <row r="569" spans="1:30" s="89" customFormat="1" ht="18.75" customHeight="1">
      <c r="A569" s="294"/>
      <c r="B569" s="427" t="s">
        <v>931</v>
      </c>
      <c r="C569" s="428">
        <v>1</v>
      </c>
      <c r="D569" s="428">
        <v>1</v>
      </c>
      <c r="E569" s="428">
        <v>57</v>
      </c>
      <c r="F569" s="430">
        <v>0.3</v>
      </c>
      <c r="G569" s="430">
        <v>0.45</v>
      </c>
      <c r="H569" s="430">
        <v>1.5</v>
      </c>
      <c r="I569" s="430">
        <f>PRODUCT(C569:H569)</f>
        <v>11.54</v>
      </c>
      <c r="J569" s="294"/>
      <c r="K569" s="90"/>
      <c r="L569" s="90"/>
      <c r="M569" s="90"/>
      <c r="N569" s="90"/>
      <c r="O569" s="90"/>
      <c r="P569" s="90"/>
      <c r="Q569" s="90"/>
      <c r="R569" s="90"/>
      <c r="S569" s="90"/>
      <c r="T569" s="90"/>
      <c r="U569" s="90"/>
      <c r="V569" s="90"/>
      <c r="W569" s="90"/>
      <c r="X569" s="90"/>
      <c r="Y569" s="90"/>
      <c r="Z569" s="90"/>
      <c r="AA569" s="90"/>
      <c r="AB569" s="90"/>
      <c r="AC569" s="90"/>
      <c r="AD569" s="90"/>
    </row>
    <row r="570" spans="1:30" s="85" customFormat="1" ht="18.75" customHeight="1">
      <c r="A570" s="294"/>
      <c r="B570" s="427" t="s">
        <v>75</v>
      </c>
      <c r="C570" s="428">
        <v>1</v>
      </c>
      <c r="D570" s="428">
        <v>1</v>
      </c>
      <c r="E570" s="428">
        <v>23</v>
      </c>
      <c r="F570" s="430">
        <v>0.3</v>
      </c>
      <c r="G570" s="430">
        <v>0.6</v>
      </c>
      <c r="H570" s="430">
        <v>1.5</v>
      </c>
      <c r="I570" s="430">
        <f>PRODUCT(C570:H570)</f>
        <v>6.21</v>
      </c>
      <c r="J570" s="294"/>
      <c r="K570" s="86"/>
      <c r="L570" s="86"/>
      <c r="M570" s="86"/>
      <c r="N570" s="86"/>
      <c r="O570" s="86"/>
      <c r="P570" s="86"/>
      <c r="Q570" s="86"/>
      <c r="R570" s="86"/>
      <c r="S570" s="86"/>
      <c r="T570" s="86"/>
      <c r="U570" s="86"/>
      <c r="V570" s="86"/>
      <c r="W570" s="86"/>
      <c r="X570" s="86"/>
      <c r="Y570" s="86"/>
      <c r="Z570" s="86"/>
      <c r="AA570" s="86"/>
      <c r="AB570" s="86"/>
      <c r="AC570" s="86"/>
      <c r="AD570" s="86"/>
    </row>
    <row r="571" spans="1:30" s="85" customFormat="1" ht="18.75" customHeight="1">
      <c r="A571" s="294"/>
      <c r="B571" s="427" t="s">
        <v>76</v>
      </c>
      <c r="C571" s="428">
        <v>1</v>
      </c>
      <c r="D571" s="428">
        <v>1</v>
      </c>
      <c r="E571" s="428">
        <v>1</v>
      </c>
      <c r="F571" s="430">
        <v>0.3</v>
      </c>
      <c r="G571" s="430">
        <v>0.6</v>
      </c>
      <c r="H571" s="430">
        <v>1.5</v>
      </c>
      <c r="I571" s="430">
        <f>PRODUCT(C571:H571)</f>
        <v>0.27</v>
      </c>
      <c r="J571" s="294"/>
      <c r="K571" s="86"/>
      <c r="L571" s="86"/>
      <c r="M571" s="86"/>
      <c r="N571" s="86"/>
      <c r="O571" s="86"/>
      <c r="P571" s="86"/>
      <c r="Q571" s="86"/>
      <c r="R571" s="86"/>
      <c r="S571" s="86"/>
      <c r="T571" s="86"/>
      <c r="U571" s="86"/>
      <c r="V571" s="86"/>
      <c r="W571" s="86"/>
      <c r="X571" s="86"/>
      <c r="Y571" s="86"/>
      <c r="Z571" s="86"/>
      <c r="AA571" s="86"/>
      <c r="AB571" s="86"/>
      <c r="AC571" s="86"/>
      <c r="AD571" s="86"/>
    </row>
    <row r="572" spans="1:30" s="108" customFormat="1" ht="24" customHeight="1">
      <c r="A572" s="311"/>
      <c r="B572" s="296" t="s">
        <v>488</v>
      </c>
      <c r="C572" s="294"/>
      <c r="D572" s="294"/>
      <c r="E572" s="294"/>
      <c r="F572" s="300"/>
      <c r="G572" s="292"/>
      <c r="H572" s="292"/>
      <c r="I572" s="298"/>
      <c r="J572" s="312"/>
    </row>
    <row r="573" spans="1:30" s="108" customFormat="1" ht="24" customHeight="1">
      <c r="A573" s="305"/>
      <c r="B573" s="293" t="s">
        <v>75</v>
      </c>
      <c r="C573" s="294">
        <v>1</v>
      </c>
      <c r="D573" s="294">
        <v>1</v>
      </c>
      <c r="E573" s="294">
        <v>21</v>
      </c>
      <c r="F573" s="300">
        <v>0.3</v>
      </c>
      <c r="G573" s="295">
        <v>0.6</v>
      </c>
      <c r="H573" s="295">
        <v>0.65</v>
      </c>
      <c r="I573" s="298">
        <f>PRODUCT(C573:H573)</f>
        <v>2.46</v>
      </c>
      <c r="J573" s="312"/>
    </row>
    <row r="574" spans="1:30" s="108" customFormat="1" ht="24" customHeight="1">
      <c r="A574" s="305"/>
      <c r="B574" s="293" t="s">
        <v>485</v>
      </c>
      <c r="C574" s="294">
        <v>1</v>
      </c>
      <c r="D574" s="294">
        <v>1</v>
      </c>
      <c r="E574" s="294">
        <v>7</v>
      </c>
      <c r="F574" s="300">
        <v>0.3</v>
      </c>
      <c r="G574" s="295">
        <v>0.75</v>
      </c>
      <c r="H574" s="295">
        <v>0.65</v>
      </c>
      <c r="I574" s="298">
        <f>PRODUCT(C574:H574)</f>
        <v>1.02</v>
      </c>
      <c r="J574" s="312"/>
      <c r="K574" s="145" t="e">
        <f>E574+#REF!+#REF!+E573+#REF!+#REF!+#REF!+#REF!+E570+E569+E590+D591+D592</f>
        <v>#REF!</v>
      </c>
    </row>
    <row r="575" spans="1:30" s="107" customFormat="1" ht="24" customHeight="1">
      <c r="A575" s="313"/>
      <c r="B575" s="290" t="s">
        <v>508</v>
      </c>
      <c r="C575" s="289"/>
      <c r="D575" s="289"/>
      <c r="E575" s="289"/>
      <c r="F575" s="289"/>
      <c r="G575" s="289"/>
      <c r="H575" s="289"/>
      <c r="I575" s="309"/>
      <c r="J575" s="305"/>
    </row>
    <row r="576" spans="1:30" s="107" customFormat="1" ht="24" customHeight="1">
      <c r="A576" s="305"/>
      <c r="B576" s="293" t="s">
        <v>810</v>
      </c>
      <c r="C576" s="294">
        <v>5</v>
      </c>
      <c r="D576" s="294">
        <v>1</v>
      </c>
      <c r="E576" s="294">
        <v>1</v>
      </c>
      <c r="F576" s="294">
        <v>14.62</v>
      </c>
      <c r="G576" s="294">
        <v>4.3899999999999997</v>
      </c>
      <c r="H576" s="294">
        <v>0.15</v>
      </c>
      <c r="I576" s="298">
        <f>PRODUCT(C576:H576)</f>
        <v>48.14</v>
      </c>
      <c r="J576" s="305"/>
    </row>
    <row r="577" spans="1:30" s="107" customFormat="1" ht="24" customHeight="1">
      <c r="A577" s="305"/>
      <c r="B577" s="293" t="s">
        <v>501</v>
      </c>
      <c r="C577" s="294">
        <v>5</v>
      </c>
      <c r="D577" s="294">
        <v>3</v>
      </c>
      <c r="E577" s="294">
        <v>1</v>
      </c>
      <c r="F577" s="294">
        <v>14.62</v>
      </c>
      <c r="G577" s="294">
        <v>0.23</v>
      </c>
      <c r="H577" s="295">
        <v>0.4</v>
      </c>
      <c r="I577" s="298">
        <f>PRODUCT(C577:H577)</f>
        <v>20.18</v>
      </c>
      <c r="J577" s="305"/>
    </row>
    <row r="578" spans="1:30" s="107" customFormat="1" ht="24" customHeight="1">
      <c r="A578" s="305"/>
      <c r="B578" s="297" t="s">
        <v>502</v>
      </c>
      <c r="C578" s="294">
        <v>5</v>
      </c>
      <c r="D578" s="294">
        <v>4</v>
      </c>
      <c r="E578" s="294">
        <v>1</v>
      </c>
      <c r="F578" s="294">
        <v>3.93</v>
      </c>
      <c r="G578" s="294">
        <v>0.23</v>
      </c>
      <c r="H578" s="295">
        <v>0.4</v>
      </c>
      <c r="I578" s="298">
        <f>PRODUCT(C578:H578)</f>
        <v>7.23</v>
      </c>
      <c r="J578" s="305"/>
      <c r="N578" s="107">
        <f>4.39-0.46</f>
        <v>3.93</v>
      </c>
    </row>
    <row r="579" spans="1:30" s="107" customFormat="1" ht="24" customHeight="1">
      <c r="A579" s="305"/>
      <c r="B579" s="293"/>
      <c r="C579" s="294" t="s">
        <v>53</v>
      </c>
      <c r="D579" s="294"/>
      <c r="E579" s="294"/>
      <c r="F579" s="294"/>
      <c r="G579" s="294"/>
      <c r="H579" s="294" t="s">
        <v>60</v>
      </c>
      <c r="I579" s="298">
        <f>SUM(I565:I578)</f>
        <v>422.8</v>
      </c>
      <c r="J579" s="343" t="s">
        <v>21</v>
      </c>
      <c r="K579" s="44"/>
      <c r="L579" s="44"/>
      <c r="M579" s="44"/>
    </row>
    <row r="580" spans="1:30" s="33" customFormat="1" ht="23.25" customHeight="1">
      <c r="A580" s="278"/>
      <c r="B580" s="279"/>
      <c r="C580" s="280"/>
      <c r="D580" s="280"/>
      <c r="E580" s="280"/>
      <c r="F580" s="463"/>
      <c r="G580" s="282"/>
      <c r="H580" s="415" t="s">
        <v>55</v>
      </c>
      <c r="I580" s="416">
        <f>ROUNDUP(I579,0)</f>
        <v>423</v>
      </c>
      <c r="J580" s="343" t="s">
        <v>21</v>
      </c>
      <c r="K580" s="44"/>
      <c r="L580" s="44"/>
      <c r="M580" s="44"/>
      <c r="N580" s="34"/>
      <c r="O580" s="34"/>
      <c r="P580" s="34"/>
      <c r="Q580" s="34"/>
      <c r="R580" s="34"/>
      <c r="S580" s="34"/>
      <c r="T580" s="34"/>
      <c r="U580" s="34"/>
      <c r="V580" s="34"/>
      <c r="W580" s="34"/>
      <c r="X580" s="34"/>
      <c r="Y580" s="34"/>
      <c r="Z580" s="34"/>
      <c r="AA580" s="34"/>
      <c r="AB580" s="34"/>
      <c r="AC580" s="34"/>
      <c r="AD580" s="34"/>
    </row>
    <row r="581" spans="1:30" s="33" customFormat="1" ht="23.25" customHeight="1">
      <c r="A581" s="278"/>
      <c r="B581" s="286" t="s">
        <v>490</v>
      </c>
      <c r="C581" s="280"/>
      <c r="D581" s="280"/>
      <c r="E581" s="280"/>
      <c r="F581" s="463"/>
      <c r="G581" s="282"/>
      <c r="H581" s="282"/>
      <c r="I581" s="283"/>
      <c r="J581" s="284"/>
      <c r="K581" s="43"/>
      <c r="L581" s="43"/>
      <c r="M581" s="43"/>
      <c r="N581" s="34"/>
      <c r="O581" s="34"/>
      <c r="P581" s="34"/>
      <c r="Q581" s="34"/>
      <c r="R581" s="34"/>
      <c r="S581" s="34"/>
      <c r="T581" s="34"/>
      <c r="U581" s="34"/>
      <c r="V581" s="34"/>
      <c r="W581" s="34"/>
      <c r="X581" s="34"/>
      <c r="Y581" s="34"/>
      <c r="Z581" s="34"/>
      <c r="AA581" s="34"/>
      <c r="AB581" s="34"/>
      <c r="AC581" s="34"/>
      <c r="AD581" s="34"/>
    </row>
    <row r="582" spans="1:30" s="64" customFormat="1" ht="23.25" customHeight="1">
      <c r="A582" s="289" t="s">
        <v>809</v>
      </c>
      <c r="B582" s="296" t="s">
        <v>466</v>
      </c>
      <c r="C582" s="294"/>
      <c r="D582" s="294"/>
      <c r="E582" s="294"/>
      <c r="F582" s="300"/>
      <c r="G582" s="464"/>
      <c r="H582" s="464"/>
      <c r="I582" s="298"/>
      <c r="J582" s="322"/>
      <c r="K582" s="65"/>
      <c r="L582" s="65"/>
      <c r="M582" s="65"/>
      <c r="N582" s="65"/>
      <c r="O582" s="65"/>
      <c r="P582" s="65"/>
      <c r="Q582" s="65"/>
      <c r="R582" s="65"/>
      <c r="S582" s="65"/>
      <c r="T582" s="65"/>
      <c r="U582" s="65"/>
      <c r="V582" s="65"/>
      <c r="W582" s="65"/>
      <c r="X582" s="65"/>
      <c r="Y582" s="65"/>
      <c r="Z582" s="65"/>
      <c r="AA582" s="65"/>
      <c r="AB582" s="65"/>
      <c r="AC582" s="65"/>
      <c r="AD582" s="65"/>
    </row>
    <row r="583" spans="1:30" s="64" customFormat="1" ht="21.75" customHeight="1">
      <c r="A583" s="294"/>
      <c r="B583" s="293" t="s">
        <v>465</v>
      </c>
      <c r="C583" s="294">
        <v>5</v>
      </c>
      <c r="D583" s="294">
        <v>1</v>
      </c>
      <c r="E583" s="294">
        <v>1</v>
      </c>
      <c r="F583" s="295">
        <v>33.94</v>
      </c>
      <c r="G583" s="295">
        <v>0.23</v>
      </c>
      <c r="H583" s="295">
        <v>0.95</v>
      </c>
      <c r="I583" s="298">
        <f>PRODUCT(C583:H583)</f>
        <v>37.08</v>
      </c>
      <c r="J583" s="322"/>
      <c r="K583" s="65"/>
      <c r="L583" s="65"/>
      <c r="M583" s="65"/>
      <c r="N583" s="65">
        <f>13.62+0.23</f>
        <v>13.85</v>
      </c>
      <c r="O583" s="65">
        <f>2.59+0.23</f>
        <v>2.82</v>
      </c>
      <c r="P583" s="65">
        <f>N583+O583</f>
        <v>16.670000000000002</v>
      </c>
      <c r="Q583" s="65">
        <f>P583*2</f>
        <v>33.340000000000003</v>
      </c>
      <c r="R583" s="65"/>
      <c r="S583" s="65"/>
      <c r="T583" s="65"/>
      <c r="U583" s="65"/>
      <c r="V583" s="65"/>
      <c r="W583" s="65"/>
      <c r="X583" s="65"/>
      <c r="Y583" s="65"/>
      <c r="Z583" s="65"/>
      <c r="AA583" s="65"/>
      <c r="AB583" s="65"/>
      <c r="AC583" s="65"/>
      <c r="AD583" s="65"/>
    </row>
    <row r="584" spans="1:30" s="64" customFormat="1" ht="21.75" customHeight="1">
      <c r="A584" s="294"/>
      <c r="B584" s="293" t="s">
        <v>808</v>
      </c>
      <c r="C584" s="294">
        <v>5</v>
      </c>
      <c r="D584" s="294">
        <v>1</v>
      </c>
      <c r="E584" s="294">
        <v>1</v>
      </c>
      <c r="F584" s="300">
        <v>2.13</v>
      </c>
      <c r="G584" s="295">
        <v>0.23</v>
      </c>
      <c r="H584" s="295">
        <v>0.95</v>
      </c>
      <c r="I584" s="298">
        <f>PRODUCT(C584:H584)</f>
        <v>2.33</v>
      </c>
      <c r="J584" s="322"/>
      <c r="K584" s="65"/>
      <c r="L584" s="65"/>
      <c r="M584" s="65"/>
      <c r="N584" s="65">
        <f>2.59-0.46</f>
        <v>2.13</v>
      </c>
      <c r="O584" s="65"/>
      <c r="P584" s="65"/>
      <c r="Q584" s="65"/>
      <c r="R584" s="65"/>
      <c r="S584" s="65"/>
      <c r="T584" s="65"/>
      <c r="U584" s="65"/>
      <c r="V584" s="65"/>
      <c r="W584" s="65"/>
      <c r="X584" s="65"/>
      <c r="Y584" s="65"/>
      <c r="Z584" s="65"/>
      <c r="AA584" s="65"/>
      <c r="AB584" s="65"/>
      <c r="AC584" s="65"/>
      <c r="AD584" s="65"/>
    </row>
    <row r="585" spans="1:30" s="53" customFormat="1" ht="21.75" customHeight="1">
      <c r="A585" s="289"/>
      <c r="B585" s="296" t="s">
        <v>507</v>
      </c>
      <c r="C585" s="294"/>
      <c r="D585" s="294"/>
      <c r="E585" s="294"/>
      <c r="F585" s="294"/>
      <c r="G585" s="294"/>
      <c r="H585" s="294"/>
      <c r="I585" s="298"/>
      <c r="J585" s="294"/>
      <c r="K585" s="54"/>
      <c r="L585" s="54"/>
      <c r="M585" s="54"/>
      <c r="N585" s="54"/>
      <c r="O585" s="112"/>
      <c r="P585" s="112"/>
      <c r="Q585" s="54"/>
      <c r="R585" s="54"/>
      <c r="S585" s="54"/>
      <c r="T585" s="54"/>
      <c r="U585" s="54"/>
      <c r="V585" s="54"/>
      <c r="W585" s="54"/>
      <c r="X585" s="54"/>
      <c r="Y585" s="54"/>
      <c r="Z585" s="54"/>
      <c r="AA585" s="54"/>
      <c r="AB585" s="54"/>
      <c r="AC585" s="54"/>
      <c r="AD585" s="54"/>
    </row>
    <row r="586" spans="1:30" s="107" customFormat="1" ht="24" customHeight="1">
      <c r="A586" s="305"/>
      <c r="B586" s="293" t="s">
        <v>807</v>
      </c>
      <c r="C586" s="294">
        <v>5</v>
      </c>
      <c r="D586" s="294">
        <v>1</v>
      </c>
      <c r="E586" s="294">
        <v>1</v>
      </c>
      <c r="F586" s="294">
        <v>13.62</v>
      </c>
      <c r="G586" s="294">
        <v>2.59</v>
      </c>
      <c r="H586" s="294">
        <v>0.15</v>
      </c>
      <c r="I586" s="298">
        <f>PRODUCT(C586:H586)</f>
        <v>26.46</v>
      </c>
      <c r="J586" s="305"/>
    </row>
    <row r="587" spans="1:30" s="53" customFormat="1" ht="21.75" customHeight="1">
      <c r="A587" s="294"/>
      <c r="B587" s="297" t="s">
        <v>506</v>
      </c>
      <c r="C587" s="294">
        <v>-5</v>
      </c>
      <c r="D587" s="294">
        <v>1</v>
      </c>
      <c r="E587" s="294">
        <v>20</v>
      </c>
      <c r="F587" s="295">
        <v>0.6</v>
      </c>
      <c r="G587" s="295">
        <v>0.6</v>
      </c>
      <c r="H587" s="294">
        <v>0.15</v>
      </c>
      <c r="I587" s="298">
        <f>PRODUCT(C587:H587)</f>
        <v>-5.4</v>
      </c>
      <c r="J587" s="294"/>
      <c r="K587" s="54"/>
      <c r="L587" s="54"/>
      <c r="M587" s="54"/>
      <c r="N587" s="54"/>
      <c r="O587" s="54" t="e">
        <f>14.62-#REF!</f>
        <v>#REF!</v>
      </c>
      <c r="P587" s="54"/>
      <c r="Q587" s="54"/>
      <c r="R587" s="54"/>
      <c r="S587" s="54"/>
      <c r="T587" s="54"/>
      <c r="U587" s="54"/>
      <c r="V587" s="54"/>
      <c r="W587" s="54"/>
      <c r="X587" s="54"/>
      <c r="Y587" s="54"/>
      <c r="Z587" s="54"/>
      <c r="AA587" s="54"/>
      <c r="AB587" s="54"/>
      <c r="AC587" s="54"/>
      <c r="AD587" s="54"/>
    </row>
    <row r="588" spans="1:30" s="53" customFormat="1" ht="21.75" customHeight="1">
      <c r="A588" s="294"/>
      <c r="B588" s="297" t="s">
        <v>505</v>
      </c>
      <c r="C588" s="294">
        <v>-1</v>
      </c>
      <c r="D588" s="294">
        <v>1</v>
      </c>
      <c r="E588" s="294">
        <v>2</v>
      </c>
      <c r="F588" s="295">
        <v>0.6</v>
      </c>
      <c r="G588" s="295">
        <v>0.6</v>
      </c>
      <c r="H588" s="294">
        <v>0.15</v>
      </c>
      <c r="I588" s="298">
        <f>PRODUCT(C588:H588)</f>
        <v>-0.11</v>
      </c>
      <c r="J588" s="294"/>
      <c r="K588" s="54"/>
      <c r="L588" s="54"/>
      <c r="M588" s="54"/>
      <c r="N588" s="54"/>
      <c r="O588" s="54">
        <f>13.83+0.5</f>
        <v>14.33</v>
      </c>
      <c r="P588" s="54"/>
      <c r="Q588" s="54"/>
      <c r="R588" s="54"/>
      <c r="S588" s="54"/>
      <c r="T588" s="54"/>
      <c r="U588" s="54"/>
      <c r="V588" s="54"/>
      <c r="W588" s="54"/>
      <c r="X588" s="54"/>
      <c r="Y588" s="54"/>
      <c r="Z588" s="54"/>
      <c r="AA588" s="54"/>
      <c r="AB588" s="54"/>
      <c r="AC588" s="54"/>
      <c r="AD588" s="54"/>
    </row>
    <row r="589" spans="1:30" s="65" customFormat="1" ht="21.75" customHeight="1">
      <c r="A589" s="289"/>
      <c r="B589" s="296" t="s">
        <v>486</v>
      </c>
      <c r="C589" s="294"/>
      <c r="D589" s="294"/>
      <c r="E589" s="295"/>
      <c r="F589" s="295"/>
      <c r="G589" s="295"/>
      <c r="H589" s="322"/>
      <c r="I589" s="465"/>
      <c r="J589" s="322"/>
    </row>
    <row r="590" spans="1:30" s="65" customFormat="1" ht="21.75" customHeight="1">
      <c r="A590" s="294"/>
      <c r="B590" s="297" t="s">
        <v>75</v>
      </c>
      <c r="C590" s="294">
        <v>1</v>
      </c>
      <c r="D590" s="294">
        <v>1</v>
      </c>
      <c r="E590" s="294">
        <v>8</v>
      </c>
      <c r="F590" s="295">
        <v>0.23</v>
      </c>
      <c r="G590" s="295">
        <v>0.6</v>
      </c>
      <c r="H590" s="295">
        <v>2.4500000000000002</v>
      </c>
      <c r="I590" s="298">
        <f>PRODUCT(C590:H590)</f>
        <v>2.7</v>
      </c>
      <c r="J590" s="294"/>
      <c r="K590" s="54"/>
      <c r="L590" s="54"/>
      <c r="M590" s="54"/>
    </row>
    <row r="591" spans="1:30" s="65" customFormat="1" ht="21.75" customHeight="1">
      <c r="A591" s="294"/>
      <c r="B591" s="297" t="s">
        <v>76</v>
      </c>
      <c r="C591" s="294">
        <v>1</v>
      </c>
      <c r="D591" s="294">
        <v>2</v>
      </c>
      <c r="E591" s="294">
        <v>1</v>
      </c>
      <c r="F591" s="295">
        <v>0.23</v>
      </c>
      <c r="G591" s="295">
        <v>0.75</v>
      </c>
      <c r="H591" s="295">
        <v>2.4500000000000002</v>
      </c>
      <c r="I591" s="298">
        <f>PRODUCT(C591:H591)</f>
        <v>0.85</v>
      </c>
      <c r="J591" s="294"/>
      <c r="K591" s="54"/>
      <c r="L591" s="54"/>
      <c r="M591" s="54"/>
    </row>
    <row r="592" spans="1:30" s="65" customFormat="1" ht="21.75" customHeight="1">
      <c r="A592" s="294"/>
      <c r="B592" s="297" t="s">
        <v>485</v>
      </c>
      <c r="C592" s="294">
        <v>1</v>
      </c>
      <c r="D592" s="294">
        <v>2</v>
      </c>
      <c r="E592" s="294">
        <v>1</v>
      </c>
      <c r="F592" s="295">
        <v>0.23</v>
      </c>
      <c r="G592" s="295">
        <v>0.45</v>
      </c>
      <c r="H592" s="295">
        <v>2.4500000000000002</v>
      </c>
      <c r="I592" s="298">
        <f>PRODUCT(C592:H592)</f>
        <v>0.51</v>
      </c>
      <c r="J592" s="294"/>
      <c r="K592" s="54"/>
      <c r="L592" s="54"/>
      <c r="M592" s="54"/>
    </row>
    <row r="593" spans="1:16" s="54" customFormat="1" ht="21.75" customHeight="1">
      <c r="A593" s="289"/>
      <c r="B593" s="296" t="s">
        <v>504</v>
      </c>
      <c r="C593" s="289"/>
      <c r="D593" s="289"/>
      <c r="E593" s="289"/>
      <c r="F593" s="289"/>
      <c r="G593" s="289"/>
      <c r="H593" s="294"/>
      <c r="I593" s="309"/>
      <c r="J593" s="294"/>
      <c r="O593" s="54">
        <f>5.55+0.46</f>
        <v>6.01</v>
      </c>
      <c r="P593" s="54">
        <f>2.85+0.46</f>
        <v>3.31</v>
      </c>
    </row>
    <row r="594" spans="1:16" s="54" customFormat="1" ht="21.75" customHeight="1">
      <c r="A594" s="294"/>
      <c r="B594" s="297" t="s">
        <v>806</v>
      </c>
      <c r="C594" s="294">
        <v>1</v>
      </c>
      <c r="D594" s="294">
        <v>1</v>
      </c>
      <c r="E594" s="294">
        <v>3</v>
      </c>
      <c r="F594" s="295">
        <v>5.55</v>
      </c>
      <c r="G594" s="294">
        <v>2.85</v>
      </c>
      <c r="H594" s="294">
        <v>0.125</v>
      </c>
      <c r="I594" s="298">
        <f>PRODUCT(C594:H594)</f>
        <v>5.93</v>
      </c>
      <c r="J594" s="294"/>
    </row>
    <row r="595" spans="1:16" s="54" customFormat="1" ht="21.75" customHeight="1">
      <c r="A595" s="294"/>
      <c r="B595" s="297" t="s">
        <v>519</v>
      </c>
      <c r="C595" s="294">
        <v>1</v>
      </c>
      <c r="D595" s="294">
        <v>1</v>
      </c>
      <c r="E595" s="294">
        <v>1</v>
      </c>
      <c r="F595" s="295">
        <v>1.6</v>
      </c>
      <c r="G595" s="295">
        <v>1.5</v>
      </c>
      <c r="H595" s="294">
        <v>0.125</v>
      </c>
      <c r="I595" s="298">
        <f>PRODUCT(C595:H595)</f>
        <v>0.3</v>
      </c>
      <c r="J595" s="294"/>
      <c r="N595" s="54">
        <f>2.277+0.936</f>
        <v>3.2130000000000001</v>
      </c>
      <c r="O595" s="54">
        <f>N595/2</f>
        <v>1.6065</v>
      </c>
      <c r="P595" s="29">
        <f>F595+F596+F597</f>
        <v>4.62</v>
      </c>
    </row>
    <row r="596" spans="1:16" s="54" customFormat="1" ht="21.75" customHeight="1">
      <c r="A596" s="294"/>
      <c r="B596" s="297" t="s">
        <v>519</v>
      </c>
      <c r="C596" s="294">
        <v>1</v>
      </c>
      <c r="D596" s="294">
        <v>1</v>
      </c>
      <c r="E596" s="294">
        <v>1</v>
      </c>
      <c r="F596" s="295">
        <v>1.65</v>
      </c>
      <c r="G596" s="295">
        <v>1.5</v>
      </c>
      <c r="H596" s="294">
        <v>0.125</v>
      </c>
      <c r="I596" s="298">
        <f>PRODUCT(C596:H596)</f>
        <v>0.31</v>
      </c>
      <c r="J596" s="294"/>
      <c r="N596" s="54">
        <f>2.372+0.936</f>
        <v>3.3079999999999998</v>
      </c>
      <c r="O596" s="54">
        <f>N596/2</f>
        <v>1.6539999999999999</v>
      </c>
      <c r="P596" s="54">
        <f>P595/3</f>
        <v>1.54</v>
      </c>
    </row>
    <row r="597" spans="1:16" s="54" customFormat="1" ht="21.75" customHeight="1">
      <c r="A597" s="294"/>
      <c r="B597" s="297" t="s">
        <v>519</v>
      </c>
      <c r="C597" s="294">
        <v>1</v>
      </c>
      <c r="D597" s="294">
        <v>1</v>
      </c>
      <c r="E597" s="294">
        <v>1</v>
      </c>
      <c r="F597" s="295">
        <v>1.37</v>
      </c>
      <c r="G597" s="295">
        <v>1.5</v>
      </c>
      <c r="H597" s="294">
        <v>0.125</v>
      </c>
      <c r="I597" s="298">
        <f>PRODUCT(C597:H597)</f>
        <v>0.26</v>
      </c>
      <c r="J597" s="294"/>
      <c r="N597" s="54">
        <f>1.917+0.83</f>
        <v>2.7469999999999999</v>
      </c>
      <c r="O597" s="54">
        <f>N597/2</f>
        <v>1.3734999999999999</v>
      </c>
    </row>
    <row r="598" spans="1:16" s="54" customFormat="1" ht="21.75" customHeight="1">
      <c r="A598" s="289"/>
      <c r="B598" s="316" t="s">
        <v>503</v>
      </c>
      <c r="C598" s="294"/>
      <c r="D598" s="294"/>
      <c r="E598" s="294"/>
      <c r="F598" s="295"/>
      <c r="G598" s="294"/>
      <c r="H598" s="294"/>
      <c r="I598" s="298"/>
      <c r="J598" s="294"/>
    </row>
    <row r="599" spans="1:16" s="54" customFormat="1" ht="21.75" customHeight="1">
      <c r="A599" s="294"/>
      <c r="B599" s="297" t="s">
        <v>502</v>
      </c>
      <c r="C599" s="294">
        <v>1</v>
      </c>
      <c r="D599" s="294">
        <v>3</v>
      </c>
      <c r="E599" s="294">
        <v>2</v>
      </c>
      <c r="F599" s="295">
        <v>6.01</v>
      </c>
      <c r="G599" s="294">
        <v>0.23</v>
      </c>
      <c r="H599" s="295">
        <v>0.4</v>
      </c>
      <c r="I599" s="298">
        <f t="shared" ref="I599:I609" si="27">PRODUCT(C599:H599)</f>
        <v>3.32</v>
      </c>
      <c r="J599" s="294"/>
      <c r="N599" s="54">
        <f>5.55+0.23+0.23</f>
        <v>6.01</v>
      </c>
      <c r="O599" s="54">
        <f>0.4-H597</f>
        <v>0.27500000000000002</v>
      </c>
    </row>
    <row r="600" spans="1:16" s="54" customFormat="1" ht="21.75" customHeight="1">
      <c r="A600" s="294"/>
      <c r="B600" s="297" t="s">
        <v>502</v>
      </c>
      <c r="C600" s="294">
        <v>1</v>
      </c>
      <c r="D600" s="294">
        <v>1</v>
      </c>
      <c r="E600" s="294">
        <v>1</v>
      </c>
      <c r="F600" s="295">
        <v>1.6</v>
      </c>
      <c r="G600" s="294">
        <v>0.23</v>
      </c>
      <c r="H600" s="295">
        <v>0.4</v>
      </c>
      <c r="I600" s="298">
        <f t="shared" si="27"/>
        <v>0.15</v>
      </c>
      <c r="J600" s="294"/>
    </row>
    <row r="601" spans="1:16" s="54" customFormat="1" ht="21.75" customHeight="1">
      <c r="A601" s="294"/>
      <c r="B601" s="297" t="s">
        <v>502</v>
      </c>
      <c r="C601" s="294">
        <v>1</v>
      </c>
      <c r="D601" s="294">
        <v>1</v>
      </c>
      <c r="E601" s="294">
        <v>1</v>
      </c>
      <c r="F601" s="295">
        <v>1.65</v>
      </c>
      <c r="G601" s="294">
        <v>0.23</v>
      </c>
      <c r="H601" s="295">
        <v>0.4</v>
      </c>
      <c r="I601" s="298">
        <f t="shared" si="27"/>
        <v>0.15</v>
      </c>
      <c r="J601" s="294"/>
    </row>
    <row r="602" spans="1:16" s="54" customFormat="1" ht="21.75" customHeight="1">
      <c r="A602" s="294"/>
      <c r="B602" s="297" t="s">
        <v>502</v>
      </c>
      <c r="C602" s="294">
        <v>1</v>
      </c>
      <c r="D602" s="294">
        <v>1</v>
      </c>
      <c r="E602" s="294">
        <v>1</v>
      </c>
      <c r="F602" s="295">
        <v>1.37</v>
      </c>
      <c r="G602" s="294">
        <v>0.23</v>
      </c>
      <c r="H602" s="295">
        <v>0.4</v>
      </c>
      <c r="I602" s="298">
        <f t="shared" si="27"/>
        <v>0.13</v>
      </c>
      <c r="J602" s="294"/>
    </row>
    <row r="603" spans="1:16" s="54" customFormat="1" ht="21.75" customHeight="1">
      <c r="A603" s="294"/>
      <c r="B603" s="297" t="s">
        <v>501</v>
      </c>
      <c r="C603" s="294">
        <v>1</v>
      </c>
      <c r="D603" s="294">
        <v>3</v>
      </c>
      <c r="E603" s="294">
        <v>3</v>
      </c>
      <c r="F603" s="295">
        <v>2.85</v>
      </c>
      <c r="G603" s="294">
        <v>0.23</v>
      </c>
      <c r="H603" s="294">
        <v>0.4</v>
      </c>
      <c r="I603" s="298">
        <f t="shared" si="27"/>
        <v>2.36</v>
      </c>
      <c r="J603" s="294"/>
    </row>
    <row r="604" spans="1:16" s="54" customFormat="1" ht="21.75" customHeight="1">
      <c r="A604" s="294"/>
      <c r="B604" s="297" t="s">
        <v>805</v>
      </c>
      <c r="C604" s="294">
        <v>1</v>
      </c>
      <c r="D604" s="294">
        <v>3</v>
      </c>
      <c r="E604" s="294">
        <v>1</v>
      </c>
      <c r="F604" s="295">
        <v>2.2599999999999998</v>
      </c>
      <c r="G604" s="294">
        <v>0.23</v>
      </c>
      <c r="H604" s="294">
        <v>0.05</v>
      </c>
      <c r="I604" s="298">
        <f t="shared" si="27"/>
        <v>0.08</v>
      </c>
      <c r="J604" s="294"/>
      <c r="N604" s="54">
        <f>1.8+0.46</f>
        <v>2.2599999999999998</v>
      </c>
    </row>
    <row r="605" spans="1:16" s="54" customFormat="1" ht="21.75" customHeight="1">
      <c r="A605" s="294"/>
      <c r="B605" s="297" t="s">
        <v>804</v>
      </c>
      <c r="C605" s="294">
        <v>1</v>
      </c>
      <c r="D605" s="294">
        <v>3</v>
      </c>
      <c r="E605" s="294">
        <v>2</v>
      </c>
      <c r="F605" s="295">
        <v>1.66</v>
      </c>
      <c r="G605" s="295">
        <v>0.23</v>
      </c>
      <c r="H605" s="294">
        <v>0.05</v>
      </c>
      <c r="I605" s="298">
        <f t="shared" si="27"/>
        <v>0.11</v>
      </c>
      <c r="J605" s="294"/>
      <c r="N605" s="54">
        <f>1.2+0.46</f>
        <v>1.66</v>
      </c>
    </row>
    <row r="606" spans="1:16" s="54" customFormat="1" ht="21.75" customHeight="1">
      <c r="A606" s="294"/>
      <c r="B606" s="293" t="s">
        <v>803</v>
      </c>
      <c r="C606" s="294">
        <v>1</v>
      </c>
      <c r="D606" s="294">
        <v>3</v>
      </c>
      <c r="E606" s="294">
        <v>1</v>
      </c>
      <c r="F606" s="295">
        <v>2.2599999999999998</v>
      </c>
      <c r="G606" s="294">
        <v>0.23</v>
      </c>
      <c r="H606" s="295">
        <v>0.15</v>
      </c>
      <c r="I606" s="298">
        <f t="shared" si="27"/>
        <v>0.23</v>
      </c>
      <c r="J606" s="294"/>
    </row>
    <row r="607" spans="1:16" s="65" customFormat="1" ht="21.75" customHeight="1">
      <c r="A607" s="294"/>
      <c r="B607" s="297" t="s">
        <v>802</v>
      </c>
      <c r="C607" s="294">
        <v>1</v>
      </c>
      <c r="D607" s="294">
        <v>3</v>
      </c>
      <c r="E607" s="294">
        <v>2</v>
      </c>
      <c r="F607" s="295">
        <v>1.66</v>
      </c>
      <c r="G607" s="295">
        <v>0.23</v>
      </c>
      <c r="H607" s="294">
        <v>0.15</v>
      </c>
      <c r="I607" s="298">
        <f t="shared" si="27"/>
        <v>0.34</v>
      </c>
      <c r="J607" s="322"/>
    </row>
    <row r="608" spans="1:16" s="65" customFormat="1" ht="21.75" customHeight="1">
      <c r="A608" s="294"/>
      <c r="B608" s="293" t="s">
        <v>801</v>
      </c>
      <c r="C608" s="294">
        <v>1</v>
      </c>
      <c r="D608" s="294">
        <v>3</v>
      </c>
      <c r="E608" s="294">
        <v>1</v>
      </c>
      <c r="F608" s="295">
        <v>2.2599999999999998</v>
      </c>
      <c r="G608" s="295">
        <v>0.45</v>
      </c>
      <c r="H608" s="466">
        <v>6.25E-2</v>
      </c>
      <c r="I608" s="298">
        <f t="shared" si="27"/>
        <v>0.19</v>
      </c>
      <c r="J608" s="322"/>
    </row>
    <row r="609" spans="1:30" s="65" customFormat="1" ht="21.75" customHeight="1">
      <c r="A609" s="294"/>
      <c r="B609" s="297" t="s">
        <v>800</v>
      </c>
      <c r="C609" s="294">
        <v>1</v>
      </c>
      <c r="D609" s="294">
        <v>3</v>
      </c>
      <c r="E609" s="294">
        <v>2</v>
      </c>
      <c r="F609" s="295">
        <v>1.66</v>
      </c>
      <c r="G609" s="295">
        <v>0.45</v>
      </c>
      <c r="H609" s="466">
        <v>6.25E-2</v>
      </c>
      <c r="I609" s="298">
        <f t="shared" si="27"/>
        <v>0.28000000000000003</v>
      </c>
      <c r="J609" s="322"/>
    </row>
    <row r="610" spans="1:30" s="64" customFormat="1" ht="21.75" customHeight="1">
      <c r="A610" s="289"/>
      <c r="B610" s="290" t="s">
        <v>484</v>
      </c>
      <c r="C610" s="294"/>
      <c r="D610" s="294"/>
      <c r="E610" s="294"/>
      <c r="F610" s="294"/>
      <c r="G610" s="295"/>
      <c r="H610" s="322"/>
      <c r="I610" s="465"/>
      <c r="J610" s="322"/>
      <c r="K610" s="65"/>
      <c r="L610" s="65"/>
      <c r="M610" s="65"/>
      <c r="N610" s="65"/>
      <c r="O610" s="65"/>
      <c r="P610" s="65"/>
      <c r="Q610" s="65"/>
      <c r="R610" s="65"/>
      <c r="S610" s="65"/>
      <c r="T610" s="65"/>
      <c r="U610" s="65"/>
      <c r="V610" s="65"/>
      <c r="W610" s="65"/>
      <c r="X610" s="65"/>
      <c r="Y610" s="65"/>
      <c r="Z610" s="65"/>
      <c r="AA610" s="65"/>
      <c r="AB610" s="65"/>
      <c r="AC610" s="65"/>
      <c r="AD610" s="65"/>
    </row>
    <row r="611" spans="1:30" s="64" customFormat="1" ht="21.75" customHeight="1">
      <c r="A611" s="294"/>
      <c r="B611" s="297" t="s">
        <v>75</v>
      </c>
      <c r="C611" s="294">
        <v>2</v>
      </c>
      <c r="D611" s="294">
        <v>3</v>
      </c>
      <c r="E611" s="294">
        <v>1</v>
      </c>
      <c r="F611" s="295">
        <v>0.23</v>
      </c>
      <c r="G611" s="295">
        <v>0.6</v>
      </c>
      <c r="H611" s="295">
        <v>0.9</v>
      </c>
      <c r="I611" s="298">
        <f>PRODUCT(C611:H611)</f>
        <v>0.75</v>
      </c>
      <c r="J611" s="322"/>
      <c r="K611" s="65"/>
      <c r="L611" s="65"/>
      <c r="M611" s="65"/>
      <c r="N611" s="65"/>
      <c r="O611" s="65"/>
      <c r="P611" s="65"/>
      <c r="Q611" s="65"/>
      <c r="R611" s="65"/>
      <c r="S611" s="65"/>
      <c r="T611" s="65"/>
      <c r="U611" s="65"/>
      <c r="V611" s="65"/>
      <c r="W611" s="65"/>
      <c r="X611" s="65"/>
      <c r="Y611" s="65"/>
      <c r="Z611" s="65"/>
      <c r="AA611" s="65"/>
      <c r="AB611" s="65"/>
      <c r="AC611" s="65"/>
      <c r="AD611" s="65"/>
    </row>
    <row r="612" spans="1:30" s="64" customFormat="1" ht="21.75" customHeight="1">
      <c r="A612" s="294"/>
      <c r="B612" s="297" t="s">
        <v>76</v>
      </c>
      <c r="C612" s="294">
        <v>2</v>
      </c>
      <c r="D612" s="294">
        <v>1</v>
      </c>
      <c r="E612" s="294">
        <v>1</v>
      </c>
      <c r="F612" s="295">
        <v>0.23</v>
      </c>
      <c r="G612" s="295">
        <v>0.75</v>
      </c>
      <c r="H612" s="295">
        <v>0.9</v>
      </c>
      <c r="I612" s="298">
        <f>PRODUCT(C612:H612)</f>
        <v>0.31</v>
      </c>
      <c r="J612" s="322"/>
      <c r="K612" s="65"/>
      <c r="L612" s="65"/>
      <c r="M612" s="65"/>
      <c r="N612" s="65"/>
      <c r="O612" s="65"/>
      <c r="P612" s="65"/>
      <c r="Q612" s="65"/>
      <c r="R612" s="65"/>
      <c r="S612" s="65"/>
      <c r="T612" s="65"/>
      <c r="U612" s="65"/>
      <c r="V612" s="65"/>
      <c r="W612" s="65"/>
      <c r="X612" s="65"/>
      <c r="Y612" s="65"/>
      <c r="Z612" s="65"/>
      <c r="AA612" s="65"/>
      <c r="AB612" s="65"/>
      <c r="AC612" s="65"/>
      <c r="AD612" s="65"/>
    </row>
    <row r="613" spans="1:30" s="64" customFormat="1" ht="21.75" customHeight="1">
      <c r="A613" s="289"/>
      <c r="B613" s="296" t="s">
        <v>499</v>
      </c>
      <c r="C613" s="294"/>
      <c r="D613" s="294"/>
      <c r="E613" s="294"/>
      <c r="F613" s="294"/>
      <c r="G613" s="295"/>
      <c r="H613" s="322"/>
      <c r="I613" s="465"/>
      <c r="J613" s="294"/>
      <c r="K613" s="54"/>
      <c r="L613" s="54"/>
      <c r="M613" s="54"/>
      <c r="N613" s="65"/>
      <c r="O613" s="65"/>
      <c r="P613" s="65"/>
      <c r="Q613" s="65"/>
      <c r="R613" s="65"/>
      <c r="S613" s="65"/>
      <c r="T613" s="65"/>
      <c r="U613" s="65"/>
      <c r="V613" s="65"/>
      <c r="W613" s="65"/>
      <c r="X613" s="65"/>
      <c r="Y613" s="65"/>
      <c r="Z613" s="65"/>
      <c r="AA613" s="65"/>
      <c r="AB613" s="65"/>
      <c r="AC613" s="65"/>
      <c r="AD613" s="65"/>
    </row>
    <row r="614" spans="1:30" s="64" customFormat="1" ht="21.75" customHeight="1">
      <c r="A614" s="294"/>
      <c r="B614" s="297" t="s">
        <v>799</v>
      </c>
      <c r="C614" s="294">
        <v>2</v>
      </c>
      <c r="D614" s="294">
        <v>1</v>
      </c>
      <c r="E614" s="294">
        <v>1</v>
      </c>
      <c r="F614" s="295">
        <v>4.55</v>
      </c>
      <c r="G614" s="295">
        <v>1.85</v>
      </c>
      <c r="H614" s="295">
        <v>0.15</v>
      </c>
      <c r="I614" s="298">
        <f>PRODUCT(C614:H614)</f>
        <v>2.5299999999999998</v>
      </c>
      <c r="J614" s="294"/>
      <c r="K614" s="54"/>
      <c r="L614" s="54"/>
      <c r="M614" s="54"/>
      <c r="N614" s="65">
        <f>5.55+2.85</f>
        <v>8.4</v>
      </c>
      <c r="O614" s="65">
        <f>2.85-1</f>
        <v>1.85</v>
      </c>
      <c r="P614" s="65"/>
      <c r="Q614" s="65"/>
      <c r="R614" s="65"/>
      <c r="S614" s="65"/>
      <c r="T614" s="65"/>
      <c r="U614" s="65"/>
      <c r="V614" s="65"/>
      <c r="W614" s="65"/>
      <c r="X614" s="65"/>
      <c r="Y614" s="65"/>
      <c r="Z614" s="65"/>
      <c r="AA614" s="65"/>
      <c r="AB614" s="65"/>
      <c r="AC614" s="65"/>
      <c r="AD614" s="65"/>
    </row>
    <row r="615" spans="1:30" s="64" customFormat="1" ht="21.75" customHeight="1">
      <c r="A615" s="294"/>
      <c r="B615" s="293" t="s">
        <v>498</v>
      </c>
      <c r="C615" s="294">
        <v>2</v>
      </c>
      <c r="D615" s="294">
        <v>2</v>
      </c>
      <c r="E615" s="294">
        <v>1</v>
      </c>
      <c r="F615" s="295">
        <v>4.55</v>
      </c>
      <c r="G615" s="295">
        <v>0.23</v>
      </c>
      <c r="H615" s="295">
        <v>0.3</v>
      </c>
      <c r="I615" s="298">
        <f>PRODUCT(C615:H615)</f>
        <v>1.26</v>
      </c>
      <c r="J615" s="294"/>
      <c r="K615" s="54"/>
      <c r="L615" s="54"/>
      <c r="M615" s="54"/>
      <c r="N615" s="65">
        <f>5.55+0.46</f>
        <v>6.01</v>
      </c>
      <c r="O615" s="65"/>
      <c r="P615" s="65"/>
      <c r="Q615" s="65"/>
      <c r="R615" s="65"/>
      <c r="S615" s="65"/>
      <c r="T615" s="65"/>
      <c r="U615" s="65"/>
      <c r="V615" s="65"/>
      <c r="W615" s="65"/>
      <c r="X615" s="65"/>
      <c r="Y615" s="65"/>
      <c r="Z615" s="65"/>
      <c r="AA615" s="65"/>
      <c r="AB615" s="65"/>
      <c r="AC615" s="65"/>
      <c r="AD615" s="65"/>
    </row>
    <row r="616" spans="1:30" s="64" customFormat="1" ht="21.75" customHeight="1">
      <c r="A616" s="294"/>
      <c r="B616" s="297" t="s">
        <v>497</v>
      </c>
      <c r="C616" s="294">
        <v>2</v>
      </c>
      <c r="D616" s="294">
        <v>2</v>
      </c>
      <c r="E616" s="294">
        <v>1</v>
      </c>
      <c r="F616" s="295">
        <v>1.85</v>
      </c>
      <c r="G616" s="295">
        <v>0.23</v>
      </c>
      <c r="H616" s="295">
        <v>0.25</v>
      </c>
      <c r="I616" s="298">
        <f>PRODUCT(C616:H616)</f>
        <v>0.43</v>
      </c>
      <c r="J616" s="294"/>
      <c r="K616" s="54"/>
      <c r="L616" s="54"/>
      <c r="M616" s="54"/>
      <c r="N616" s="65"/>
      <c r="O616" s="65"/>
      <c r="P616" s="65"/>
      <c r="Q616" s="65"/>
      <c r="R616" s="65"/>
      <c r="S616" s="65"/>
      <c r="T616" s="65"/>
      <c r="U616" s="65"/>
      <c r="V616" s="65"/>
      <c r="W616" s="65"/>
      <c r="X616" s="65"/>
      <c r="Y616" s="65"/>
      <c r="Z616" s="65"/>
      <c r="AA616" s="65"/>
      <c r="AB616" s="65"/>
      <c r="AC616" s="65"/>
      <c r="AD616" s="65"/>
    </row>
    <row r="617" spans="1:30" s="67" customFormat="1" ht="19.5" customHeight="1">
      <c r="A617" s="289"/>
      <c r="B617" s="290" t="s">
        <v>461</v>
      </c>
      <c r="C617" s="294"/>
      <c r="D617" s="294"/>
      <c r="E617" s="295"/>
      <c r="F617" s="295"/>
      <c r="G617" s="295"/>
      <c r="H617" s="303"/>
      <c r="I617" s="314"/>
      <c r="J617" s="303"/>
      <c r="K617" s="79"/>
      <c r="L617" s="79"/>
      <c r="M617" s="79"/>
    </row>
    <row r="618" spans="1:30" s="67" customFormat="1" ht="19.5" customHeight="1">
      <c r="A618" s="294"/>
      <c r="B618" s="297" t="s">
        <v>798</v>
      </c>
      <c r="C618" s="294">
        <v>2</v>
      </c>
      <c r="D618" s="294">
        <v>1</v>
      </c>
      <c r="E618" s="294">
        <v>1</v>
      </c>
      <c r="F618" s="295">
        <v>13.72</v>
      </c>
      <c r="G618" s="295">
        <v>0.23</v>
      </c>
      <c r="H618" s="295">
        <v>1.2</v>
      </c>
      <c r="I618" s="298">
        <f>PRODUCT(C618:H618)</f>
        <v>7.57</v>
      </c>
      <c r="J618" s="303"/>
      <c r="K618" s="79"/>
      <c r="L618" s="79"/>
      <c r="M618" s="79"/>
      <c r="N618" s="67">
        <f>4.55+0.23</f>
        <v>4.78</v>
      </c>
      <c r="O618" s="67">
        <f>1.85+0.23</f>
        <v>2.08</v>
      </c>
      <c r="P618" s="70">
        <f>N618+O618</f>
        <v>6.86</v>
      </c>
      <c r="Q618" s="67">
        <f>P618*2</f>
        <v>13.72</v>
      </c>
    </row>
    <row r="619" spans="1:30" s="54" customFormat="1" ht="19.5" customHeight="1">
      <c r="A619" s="289"/>
      <c r="B619" s="290" t="s">
        <v>496</v>
      </c>
      <c r="C619" s="294"/>
      <c r="D619" s="294"/>
      <c r="E619" s="294"/>
      <c r="F619" s="300"/>
      <c r="G619" s="289"/>
      <c r="H619" s="289"/>
      <c r="I619" s="298"/>
      <c r="J619" s="294"/>
      <c r="K619" s="111"/>
      <c r="L619" s="111"/>
      <c r="M619" s="111"/>
      <c r="N619" s="112"/>
    </row>
    <row r="620" spans="1:30" s="67" customFormat="1" ht="19.5" customHeight="1">
      <c r="A620" s="294"/>
      <c r="B620" s="297" t="s">
        <v>797</v>
      </c>
      <c r="C620" s="294">
        <v>1</v>
      </c>
      <c r="D620" s="294">
        <v>1</v>
      </c>
      <c r="E620" s="294">
        <v>1</v>
      </c>
      <c r="F620" s="295">
        <v>4.55</v>
      </c>
      <c r="G620" s="295">
        <v>1.85</v>
      </c>
      <c r="H620" s="300">
        <v>0.15</v>
      </c>
      <c r="I620" s="298">
        <f>PRODUCT(C620:H620)</f>
        <v>1.26</v>
      </c>
      <c r="J620" s="294"/>
      <c r="K620" s="111"/>
      <c r="L620" s="111"/>
      <c r="M620" s="111"/>
    </row>
    <row r="621" spans="1:30" s="67" customFormat="1" ht="19.5" customHeight="1">
      <c r="A621" s="294"/>
      <c r="B621" s="297" t="s">
        <v>495</v>
      </c>
      <c r="C621" s="294">
        <v>-1</v>
      </c>
      <c r="D621" s="294">
        <v>1</v>
      </c>
      <c r="E621" s="294">
        <v>1</v>
      </c>
      <c r="F621" s="295">
        <v>0.6</v>
      </c>
      <c r="G621" s="295">
        <v>0.6</v>
      </c>
      <c r="H621" s="300">
        <v>0.15</v>
      </c>
      <c r="I621" s="298">
        <f>PRODUCT(C621:H621)</f>
        <v>-0.05</v>
      </c>
      <c r="J621" s="294"/>
      <c r="K621" s="111"/>
      <c r="L621" s="111"/>
      <c r="M621" s="111"/>
    </row>
    <row r="622" spans="1:30" s="2" customFormat="1" ht="19.5" customHeight="1">
      <c r="A622" s="278"/>
      <c r="B622" s="279"/>
      <c r="C622" s="280"/>
      <c r="D622" s="280"/>
      <c r="E622" s="280"/>
      <c r="F622" s="282"/>
      <c r="G622" s="282"/>
      <c r="H622" s="282"/>
      <c r="I622" s="283">
        <f>SUM(I583:I621)</f>
        <v>92.62</v>
      </c>
      <c r="J622" s="284" t="s">
        <v>21</v>
      </c>
      <c r="K622" s="43"/>
      <c r="L622" s="43"/>
      <c r="M622" s="43"/>
      <c r="N622" s="9"/>
      <c r="O622" s="9"/>
      <c r="P622" s="9"/>
      <c r="Q622" s="9"/>
      <c r="R622" s="9"/>
      <c r="S622" s="9"/>
      <c r="T622" s="9"/>
      <c r="U622" s="9"/>
      <c r="V622" s="9"/>
      <c r="W622" s="9"/>
      <c r="X622" s="9"/>
      <c r="Y622" s="9"/>
      <c r="Z622" s="9"/>
      <c r="AA622" s="9"/>
      <c r="AB622" s="9"/>
      <c r="AC622" s="9"/>
      <c r="AD622" s="9"/>
    </row>
    <row r="623" spans="1:30" s="2" customFormat="1" ht="19.5" customHeight="1">
      <c r="A623" s="278"/>
      <c r="B623" s="279"/>
      <c r="C623" s="280"/>
      <c r="D623" s="280"/>
      <c r="E623" s="280"/>
      <c r="F623" s="282"/>
      <c r="G623" s="282"/>
      <c r="H623" s="415" t="s">
        <v>55</v>
      </c>
      <c r="I623" s="416">
        <f>ROUNDUP(I622,0)</f>
        <v>93</v>
      </c>
      <c r="J623" s="287" t="s">
        <v>21</v>
      </c>
      <c r="K623" s="42"/>
      <c r="L623" s="42"/>
      <c r="M623" s="42"/>
      <c r="N623" s="9"/>
      <c r="O623" s="9"/>
      <c r="P623" s="9"/>
      <c r="Q623" s="9"/>
      <c r="R623" s="9"/>
      <c r="S623" s="9"/>
      <c r="T623" s="9"/>
      <c r="U623" s="9"/>
      <c r="V623" s="9"/>
      <c r="W623" s="9"/>
      <c r="X623" s="9"/>
      <c r="Y623" s="9"/>
      <c r="Z623" s="9"/>
      <c r="AA623" s="9"/>
      <c r="AB623" s="9"/>
      <c r="AC623" s="9"/>
      <c r="AD623" s="9"/>
    </row>
    <row r="624" spans="1:30" s="2" customFormat="1" ht="35.25" customHeight="1">
      <c r="A624" s="288">
        <v>9.1999999999999993</v>
      </c>
      <c r="B624" s="286" t="s">
        <v>796</v>
      </c>
      <c r="C624" s="280"/>
      <c r="D624" s="280"/>
      <c r="E624" s="280"/>
      <c r="F624" s="282"/>
      <c r="G624" s="282"/>
      <c r="H624" s="282"/>
      <c r="I624" s="283"/>
      <c r="J624" s="284"/>
      <c r="K624" s="43"/>
      <c r="L624" s="43"/>
      <c r="M624" s="43"/>
      <c r="N624" s="9"/>
      <c r="O624" s="9"/>
      <c r="P624" s="9"/>
      <c r="Q624" s="9"/>
      <c r="R624" s="9"/>
      <c r="S624" s="9"/>
      <c r="T624" s="9"/>
      <c r="U624" s="9"/>
      <c r="V624" s="9"/>
      <c r="W624" s="9"/>
      <c r="X624" s="9"/>
      <c r="Y624" s="9"/>
      <c r="Z624" s="9"/>
      <c r="AA624" s="9"/>
      <c r="AB624" s="9"/>
      <c r="AC624" s="9"/>
      <c r="AD624" s="9"/>
    </row>
    <row r="625" spans="1:30" s="2" customFormat="1" ht="23.25" customHeight="1">
      <c r="A625" s="278"/>
      <c r="B625" s="286" t="s">
        <v>795</v>
      </c>
      <c r="C625" s="280"/>
      <c r="D625" s="280"/>
      <c r="E625" s="280"/>
      <c r="F625" s="282"/>
      <c r="G625" s="282"/>
      <c r="H625" s="282"/>
      <c r="I625" s="283"/>
      <c r="J625" s="284"/>
      <c r="K625" s="43"/>
      <c r="L625" s="43"/>
      <c r="M625" s="43"/>
      <c r="N625" s="9"/>
      <c r="O625" s="9"/>
      <c r="P625" s="9"/>
      <c r="Q625" s="9"/>
      <c r="R625" s="9"/>
      <c r="S625" s="9"/>
      <c r="T625" s="9"/>
      <c r="U625" s="9"/>
      <c r="V625" s="9"/>
      <c r="W625" s="9"/>
      <c r="X625" s="9"/>
      <c r="Y625" s="9"/>
      <c r="Z625" s="9"/>
      <c r="AA625" s="9"/>
      <c r="AB625" s="9"/>
      <c r="AC625" s="9"/>
      <c r="AD625" s="9"/>
    </row>
    <row r="626" spans="1:30" s="71" customFormat="1" ht="20.25" customHeight="1">
      <c r="A626" s="294"/>
      <c r="B626" s="297" t="s">
        <v>794</v>
      </c>
      <c r="C626" s="294">
        <v>1</v>
      </c>
      <c r="D626" s="294">
        <v>1</v>
      </c>
      <c r="E626" s="294">
        <v>2</v>
      </c>
      <c r="F626" s="294">
        <v>25.48</v>
      </c>
      <c r="G626" s="294">
        <v>0.23</v>
      </c>
      <c r="H626" s="294">
        <v>2.4500000000000002</v>
      </c>
      <c r="I626" s="298">
        <f t="shared" ref="I626:I665" si="28">PRODUCT(C626:H626)</f>
        <v>28.72</v>
      </c>
      <c r="J626" s="303"/>
      <c r="K626" s="72"/>
      <c r="L626" s="72"/>
      <c r="M626" s="72"/>
      <c r="N626" s="72">
        <f>3.385+0.23</f>
        <v>3.6150000000000002</v>
      </c>
      <c r="O626" s="72">
        <f>8.895+0.23</f>
        <v>9.125</v>
      </c>
      <c r="P626" s="72">
        <f>N626+O626</f>
        <v>12.74</v>
      </c>
      <c r="Q626" s="72">
        <f>P626*2</f>
        <v>25.48</v>
      </c>
      <c r="R626" s="72"/>
      <c r="S626" s="72"/>
      <c r="T626" s="72"/>
      <c r="U626" s="72"/>
      <c r="V626" s="72"/>
      <c r="W626" s="72"/>
      <c r="X626" s="72"/>
      <c r="Y626" s="72"/>
      <c r="Z626" s="72"/>
      <c r="AA626" s="72"/>
      <c r="AB626" s="72"/>
      <c r="AC626" s="72"/>
      <c r="AD626" s="72"/>
    </row>
    <row r="627" spans="1:30" s="71" customFormat="1" ht="20.25" customHeight="1">
      <c r="A627" s="294"/>
      <c r="B627" s="297" t="s">
        <v>793</v>
      </c>
      <c r="C627" s="294">
        <v>1</v>
      </c>
      <c r="D627" s="294">
        <v>2</v>
      </c>
      <c r="E627" s="294">
        <v>2</v>
      </c>
      <c r="F627" s="294">
        <v>1.8</v>
      </c>
      <c r="G627" s="294">
        <v>0.23</v>
      </c>
      <c r="H627" s="294">
        <v>2.4500000000000002</v>
      </c>
      <c r="I627" s="298">
        <f t="shared" si="28"/>
        <v>4.0599999999999996</v>
      </c>
      <c r="J627" s="303"/>
      <c r="K627" s="72"/>
      <c r="L627" s="72"/>
      <c r="M627" s="72"/>
      <c r="N627" s="72">
        <f>5.185+0.23</f>
        <v>5.415</v>
      </c>
      <c r="O627" s="139">
        <f>N627-3.385-0.23</f>
        <v>1.8</v>
      </c>
      <c r="P627" s="72"/>
      <c r="Q627" s="72"/>
      <c r="R627" s="72"/>
      <c r="S627" s="72"/>
      <c r="T627" s="72"/>
      <c r="U627" s="72"/>
      <c r="V627" s="72"/>
      <c r="W627" s="72"/>
      <c r="X627" s="72"/>
      <c r="Y627" s="72"/>
      <c r="Z627" s="72"/>
      <c r="AA627" s="72"/>
      <c r="AB627" s="72"/>
      <c r="AC627" s="72"/>
      <c r="AD627" s="72"/>
    </row>
    <row r="628" spans="1:30" s="71" customFormat="1" ht="20.25" customHeight="1">
      <c r="A628" s="294"/>
      <c r="B628" s="297" t="s">
        <v>792</v>
      </c>
      <c r="C628" s="294">
        <v>-1</v>
      </c>
      <c r="D628" s="294">
        <v>1</v>
      </c>
      <c r="E628" s="294">
        <v>2</v>
      </c>
      <c r="F628" s="295">
        <v>1</v>
      </c>
      <c r="G628" s="294">
        <v>0.23</v>
      </c>
      <c r="H628" s="295">
        <v>2.1</v>
      </c>
      <c r="I628" s="298">
        <f t="shared" si="28"/>
        <v>-0.97</v>
      </c>
      <c r="J628" s="303"/>
      <c r="K628" s="72"/>
      <c r="L628" s="72"/>
      <c r="M628" s="72"/>
      <c r="N628" s="72"/>
      <c r="O628" s="72"/>
      <c r="P628" s="72"/>
      <c r="Q628" s="72"/>
      <c r="R628" s="72"/>
      <c r="S628" s="72"/>
      <c r="T628" s="72"/>
      <c r="U628" s="72"/>
      <c r="V628" s="72"/>
      <c r="W628" s="72"/>
      <c r="X628" s="72"/>
      <c r="Y628" s="72"/>
      <c r="Z628" s="72"/>
      <c r="AA628" s="72"/>
      <c r="AB628" s="72"/>
      <c r="AC628" s="72"/>
      <c r="AD628" s="72"/>
    </row>
    <row r="629" spans="1:30" s="71" customFormat="1" ht="20.25" customHeight="1">
      <c r="A629" s="294"/>
      <c r="B629" s="297" t="s">
        <v>96</v>
      </c>
      <c r="C629" s="294">
        <v>-1</v>
      </c>
      <c r="D629" s="294">
        <v>1</v>
      </c>
      <c r="E629" s="294">
        <v>2</v>
      </c>
      <c r="F629" s="295">
        <v>1.5</v>
      </c>
      <c r="G629" s="294">
        <v>0.23</v>
      </c>
      <c r="H629" s="294">
        <v>1.35</v>
      </c>
      <c r="I629" s="298">
        <f t="shared" si="28"/>
        <v>-0.93</v>
      </c>
      <c r="J629" s="303"/>
      <c r="K629" s="72"/>
      <c r="L629" s="72"/>
      <c r="M629" s="72"/>
      <c r="N629" s="72"/>
      <c r="O629" s="72"/>
      <c r="P629" s="72"/>
      <c r="Q629" s="72"/>
      <c r="R629" s="72"/>
      <c r="S629" s="72"/>
      <c r="T629" s="72"/>
      <c r="U629" s="72"/>
      <c r="V629" s="72"/>
      <c r="W629" s="72"/>
      <c r="X629" s="72"/>
      <c r="Y629" s="72"/>
      <c r="Z629" s="72"/>
      <c r="AA629" s="72"/>
      <c r="AB629" s="72"/>
      <c r="AC629" s="72"/>
      <c r="AD629" s="72"/>
    </row>
    <row r="630" spans="1:30" s="71" customFormat="1" ht="20.25" customHeight="1">
      <c r="A630" s="294"/>
      <c r="B630" s="297" t="s">
        <v>791</v>
      </c>
      <c r="C630" s="294">
        <v>-1</v>
      </c>
      <c r="D630" s="294">
        <v>1</v>
      </c>
      <c r="E630" s="294">
        <v>2</v>
      </c>
      <c r="F630" s="295">
        <v>1.5</v>
      </c>
      <c r="G630" s="294">
        <v>0.23</v>
      </c>
      <c r="H630" s="294">
        <v>1.35</v>
      </c>
      <c r="I630" s="298">
        <f t="shared" si="28"/>
        <v>-0.93</v>
      </c>
      <c r="J630" s="303"/>
      <c r="K630" s="72"/>
      <c r="L630" s="72"/>
      <c r="M630" s="72"/>
      <c r="N630" s="72"/>
      <c r="O630" s="72"/>
      <c r="P630" s="72"/>
      <c r="Q630" s="72"/>
      <c r="R630" s="72"/>
      <c r="S630" s="72"/>
      <c r="T630" s="72"/>
      <c r="U630" s="72"/>
      <c r="V630" s="72"/>
      <c r="W630" s="72"/>
      <c r="X630" s="72"/>
      <c r="Y630" s="72"/>
      <c r="Z630" s="72"/>
      <c r="AA630" s="72"/>
      <c r="AB630" s="72"/>
      <c r="AC630" s="72"/>
      <c r="AD630" s="72"/>
    </row>
    <row r="631" spans="1:30" s="71" customFormat="1" ht="20.25" customHeight="1">
      <c r="A631" s="294"/>
      <c r="B631" s="297" t="s">
        <v>651</v>
      </c>
      <c r="C631" s="294">
        <v>1</v>
      </c>
      <c r="D631" s="294">
        <v>1</v>
      </c>
      <c r="E631" s="294">
        <v>1</v>
      </c>
      <c r="F631" s="295">
        <v>17.760000000000002</v>
      </c>
      <c r="G631" s="294">
        <v>0.23</v>
      </c>
      <c r="H631" s="294">
        <v>2.4500000000000002</v>
      </c>
      <c r="I631" s="298">
        <f t="shared" si="28"/>
        <v>10.01</v>
      </c>
      <c r="J631" s="303"/>
      <c r="K631" s="72"/>
      <c r="L631" s="72"/>
      <c r="M631" s="72"/>
      <c r="N631" s="72">
        <f>5.185+0.23</f>
        <v>5.415</v>
      </c>
      <c r="O631" s="72">
        <f>3.235+0.23</f>
        <v>3.4649999999999999</v>
      </c>
      <c r="P631" s="72">
        <f>N631+O631</f>
        <v>8.8800000000000008</v>
      </c>
      <c r="Q631" s="144">
        <f>P631*2</f>
        <v>17.760000000000002</v>
      </c>
      <c r="R631" s="72"/>
      <c r="S631" s="72"/>
      <c r="T631" s="72"/>
      <c r="U631" s="72"/>
      <c r="V631" s="72"/>
      <c r="W631" s="72"/>
      <c r="X631" s="72"/>
      <c r="Y631" s="72"/>
      <c r="Z631" s="72"/>
      <c r="AA631" s="72"/>
      <c r="AB631" s="72"/>
      <c r="AC631" s="72"/>
      <c r="AD631" s="72"/>
    </row>
    <row r="632" spans="1:30" s="71" customFormat="1" ht="20.25" customHeight="1">
      <c r="A632" s="294"/>
      <c r="B632" s="297" t="s">
        <v>790</v>
      </c>
      <c r="C632" s="294">
        <v>-1</v>
      </c>
      <c r="D632" s="294">
        <v>1</v>
      </c>
      <c r="E632" s="294">
        <v>1</v>
      </c>
      <c r="F632" s="295">
        <v>1.1000000000000001</v>
      </c>
      <c r="G632" s="294">
        <v>0.23</v>
      </c>
      <c r="H632" s="295">
        <v>2.1</v>
      </c>
      <c r="I632" s="298">
        <f t="shared" si="28"/>
        <v>-0.53</v>
      </c>
      <c r="J632" s="303"/>
      <c r="K632" s="72"/>
      <c r="L632" s="72"/>
      <c r="M632" s="72"/>
      <c r="N632" s="72"/>
      <c r="O632" s="72"/>
      <c r="P632" s="72"/>
      <c r="Q632" s="144"/>
      <c r="R632" s="72"/>
      <c r="S632" s="72"/>
      <c r="T632" s="72"/>
      <c r="U632" s="72"/>
      <c r="V632" s="72"/>
      <c r="W632" s="72"/>
      <c r="X632" s="72"/>
      <c r="Y632" s="72"/>
      <c r="Z632" s="72"/>
      <c r="AA632" s="72"/>
      <c r="AB632" s="72"/>
      <c r="AC632" s="72"/>
      <c r="AD632" s="72"/>
    </row>
    <row r="633" spans="1:30" s="71" customFormat="1" ht="20.25" customHeight="1">
      <c r="A633" s="294"/>
      <c r="B633" s="297" t="s">
        <v>789</v>
      </c>
      <c r="C633" s="294">
        <v>1</v>
      </c>
      <c r="D633" s="294">
        <v>1</v>
      </c>
      <c r="E633" s="294">
        <v>1</v>
      </c>
      <c r="F633" s="295">
        <v>15.69</v>
      </c>
      <c r="G633" s="294">
        <v>0.23</v>
      </c>
      <c r="H633" s="294">
        <v>2.4500000000000002</v>
      </c>
      <c r="I633" s="298">
        <f t="shared" si="28"/>
        <v>8.84</v>
      </c>
      <c r="J633" s="303"/>
      <c r="K633" s="72"/>
      <c r="L633" s="72"/>
      <c r="M633" s="72"/>
      <c r="N633" s="72">
        <f>4+0.23</f>
        <v>4.2300000000000004</v>
      </c>
      <c r="O633" s="72">
        <f>3.385+0.23</f>
        <v>3.6150000000000002</v>
      </c>
      <c r="P633" s="72">
        <f>N633+O633</f>
        <v>7.8449999999999998</v>
      </c>
      <c r="Q633" s="144">
        <f>P633*2</f>
        <v>15.69</v>
      </c>
      <c r="R633" s="72"/>
      <c r="S633" s="72"/>
      <c r="T633" s="72"/>
      <c r="U633" s="72"/>
      <c r="V633" s="72"/>
      <c r="W633" s="72"/>
      <c r="X633" s="72"/>
      <c r="Y633" s="72"/>
      <c r="Z633" s="72"/>
      <c r="AA633" s="72"/>
      <c r="AB633" s="72"/>
      <c r="AC633" s="72"/>
      <c r="AD633" s="72"/>
    </row>
    <row r="634" spans="1:30" s="71" customFormat="1" ht="20.25" customHeight="1">
      <c r="A634" s="294"/>
      <c r="B634" s="297" t="s">
        <v>633</v>
      </c>
      <c r="C634" s="294">
        <v>-1</v>
      </c>
      <c r="D634" s="294">
        <v>1</v>
      </c>
      <c r="E634" s="294">
        <v>1</v>
      </c>
      <c r="F634" s="295">
        <v>2.1</v>
      </c>
      <c r="G634" s="294">
        <v>0.23</v>
      </c>
      <c r="H634" s="295">
        <v>2.1</v>
      </c>
      <c r="I634" s="298">
        <f t="shared" si="28"/>
        <v>-1.01</v>
      </c>
      <c r="J634" s="303"/>
      <c r="K634" s="72"/>
      <c r="L634" s="72"/>
      <c r="M634" s="72"/>
      <c r="N634" s="72"/>
      <c r="O634" s="72"/>
      <c r="P634" s="72"/>
      <c r="Q634" s="144"/>
      <c r="R634" s="72"/>
      <c r="S634" s="72"/>
      <c r="T634" s="72"/>
      <c r="U634" s="72"/>
      <c r="V634" s="72"/>
      <c r="W634" s="72"/>
      <c r="X634" s="72"/>
      <c r="Y634" s="72"/>
      <c r="Z634" s="72"/>
      <c r="AA634" s="72"/>
      <c r="AB634" s="72"/>
      <c r="AC634" s="72"/>
      <c r="AD634" s="72"/>
    </row>
    <row r="635" spans="1:30" s="71" customFormat="1" ht="20.25" customHeight="1">
      <c r="A635" s="294"/>
      <c r="B635" s="297" t="s">
        <v>631</v>
      </c>
      <c r="C635" s="294">
        <v>-1</v>
      </c>
      <c r="D635" s="294">
        <v>1</v>
      </c>
      <c r="E635" s="294">
        <v>1</v>
      </c>
      <c r="F635" s="295">
        <v>1.5</v>
      </c>
      <c r="G635" s="294">
        <v>0.23</v>
      </c>
      <c r="H635" s="294">
        <v>1.35</v>
      </c>
      <c r="I635" s="298">
        <f t="shared" si="28"/>
        <v>-0.47</v>
      </c>
      <c r="J635" s="303"/>
      <c r="K635" s="72"/>
      <c r="L635" s="72"/>
      <c r="M635" s="72"/>
      <c r="N635" s="72"/>
      <c r="O635" s="72"/>
      <c r="P635" s="72"/>
      <c r="Q635" s="144"/>
      <c r="R635" s="72"/>
      <c r="S635" s="72"/>
      <c r="T635" s="72"/>
      <c r="U635" s="72"/>
      <c r="V635" s="72"/>
      <c r="W635" s="72"/>
      <c r="X635" s="72"/>
      <c r="Y635" s="72"/>
      <c r="Z635" s="72"/>
      <c r="AA635" s="72"/>
      <c r="AB635" s="72"/>
      <c r="AC635" s="72"/>
      <c r="AD635" s="72"/>
    </row>
    <row r="636" spans="1:30" s="71" customFormat="1" ht="20.25" customHeight="1">
      <c r="A636" s="294"/>
      <c r="B636" s="297" t="s">
        <v>788</v>
      </c>
      <c r="C636" s="294">
        <v>1</v>
      </c>
      <c r="D636" s="294">
        <v>1</v>
      </c>
      <c r="E636" s="294">
        <v>1</v>
      </c>
      <c r="F636" s="300">
        <v>1.3149999999999999</v>
      </c>
      <c r="G636" s="294">
        <v>0.23</v>
      </c>
      <c r="H636" s="294">
        <v>2.4500000000000002</v>
      </c>
      <c r="I636" s="298">
        <f t="shared" si="28"/>
        <v>0.74</v>
      </c>
      <c r="J636" s="303"/>
      <c r="K636" s="72"/>
      <c r="L636" s="72"/>
      <c r="M636" s="72"/>
      <c r="N636" s="72"/>
      <c r="O636" s="72"/>
      <c r="P636" s="72"/>
      <c r="Q636" s="144"/>
      <c r="R636" s="72"/>
      <c r="S636" s="72"/>
      <c r="T636" s="72"/>
      <c r="U636" s="72"/>
      <c r="V636" s="72"/>
      <c r="W636" s="72"/>
      <c r="X636" s="72"/>
      <c r="Y636" s="72"/>
      <c r="Z636" s="72"/>
      <c r="AA636" s="72"/>
      <c r="AB636" s="72"/>
      <c r="AC636" s="72"/>
      <c r="AD636" s="72"/>
    </row>
    <row r="637" spans="1:30" s="71" customFormat="1" ht="20.25" customHeight="1">
      <c r="A637" s="294"/>
      <c r="B637" s="297" t="s">
        <v>787</v>
      </c>
      <c r="C637" s="294">
        <v>1</v>
      </c>
      <c r="D637" s="294">
        <v>1</v>
      </c>
      <c r="E637" s="294">
        <v>1</v>
      </c>
      <c r="F637" s="295">
        <v>15.79</v>
      </c>
      <c r="G637" s="294">
        <v>0.23</v>
      </c>
      <c r="H637" s="294">
        <v>2.4500000000000002</v>
      </c>
      <c r="I637" s="298">
        <f t="shared" si="28"/>
        <v>8.9</v>
      </c>
      <c r="J637" s="303"/>
      <c r="K637" s="72"/>
      <c r="L637" s="72"/>
      <c r="M637" s="72"/>
      <c r="N637" s="72">
        <f>4.05+0.23</f>
        <v>4.28</v>
      </c>
      <c r="O637" s="72">
        <f>3.385+0.23</f>
        <v>3.6150000000000002</v>
      </c>
      <c r="P637" s="72">
        <f>N637+O637</f>
        <v>7.8949999999999996</v>
      </c>
      <c r="Q637" s="144">
        <f>P637*2</f>
        <v>15.79</v>
      </c>
      <c r="R637" s="72"/>
      <c r="S637" s="72"/>
      <c r="T637" s="72"/>
      <c r="U637" s="72"/>
      <c r="V637" s="72"/>
      <c r="W637" s="72"/>
      <c r="X637" s="72"/>
      <c r="Y637" s="72"/>
      <c r="Z637" s="72"/>
      <c r="AA637" s="72"/>
      <c r="AB637" s="72"/>
      <c r="AC637" s="72"/>
      <c r="AD637" s="72"/>
    </row>
    <row r="638" spans="1:30" s="71" customFormat="1" ht="20.25" customHeight="1">
      <c r="A638" s="294"/>
      <c r="B638" s="297" t="s">
        <v>631</v>
      </c>
      <c r="C638" s="294">
        <v>-1</v>
      </c>
      <c r="D638" s="294">
        <v>1</v>
      </c>
      <c r="E638" s="294">
        <v>1</v>
      </c>
      <c r="F638" s="295">
        <v>1.5</v>
      </c>
      <c r="G638" s="294">
        <v>0.23</v>
      </c>
      <c r="H638" s="294">
        <v>1.35</v>
      </c>
      <c r="I638" s="298">
        <f t="shared" si="28"/>
        <v>-0.47</v>
      </c>
      <c r="J638" s="303"/>
      <c r="K638" s="72"/>
      <c r="L638" s="72"/>
      <c r="M638" s="72"/>
      <c r="N638" s="72"/>
      <c r="O638" s="72"/>
      <c r="P638" s="72"/>
      <c r="Q638" s="144"/>
      <c r="R638" s="72"/>
      <c r="S638" s="72"/>
      <c r="T638" s="72"/>
      <c r="U638" s="72"/>
      <c r="V638" s="72"/>
      <c r="W638" s="72"/>
      <c r="X638" s="72"/>
      <c r="Y638" s="72"/>
      <c r="Z638" s="72"/>
      <c r="AA638" s="72"/>
      <c r="AB638" s="72"/>
      <c r="AC638" s="72"/>
      <c r="AD638" s="72"/>
    </row>
    <row r="639" spans="1:30" s="71" customFormat="1" ht="20.25" customHeight="1">
      <c r="A639" s="294"/>
      <c r="B639" s="297" t="s">
        <v>633</v>
      </c>
      <c r="C639" s="294">
        <v>-1</v>
      </c>
      <c r="D639" s="294">
        <v>1</v>
      </c>
      <c r="E639" s="294">
        <v>1</v>
      </c>
      <c r="F639" s="295">
        <v>2.1</v>
      </c>
      <c r="G639" s="294">
        <v>0.23</v>
      </c>
      <c r="H639" s="295">
        <v>2.1</v>
      </c>
      <c r="I639" s="298">
        <f t="shared" si="28"/>
        <v>-1.01</v>
      </c>
      <c r="J639" s="303"/>
      <c r="K639" s="72"/>
      <c r="L639" s="72"/>
      <c r="M639" s="72"/>
      <c r="N639" s="72"/>
      <c r="O639" s="72"/>
      <c r="P639" s="72"/>
      <c r="Q639" s="144"/>
      <c r="R639" s="72"/>
      <c r="S639" s="72"/>
      <c r="T639" s="72"/>
      <c r="U639" s="72"/>
      <c r="V639" s="72"/>
      <c r="W639" s="72"/>
      <c r="X639" s="72"/>
      <c r="Y639" s="72"/>
      <c r="Z639" s="72"/>
      <c r="AA639" s="72"/>
      <c r="AB639" s="72"/>
      <c r="AC639" s="72"/>
      <c r="AD639" s="72"/>
    </row>
    <row r="640" spans="1:30" s="71" customFormat="1" ht="20.25" customHeight="1">
      <c r="A640" s="294"/>
      <c r="B640" s="297" t="s">
        <v>646</v>
      </c>
      <c r="C640" s="294">
        <v>1</v>
      </c>
      <c r="D640" s="294">
        <v>1</v>
      </c>
      <c r="E640" s="294">
        <v>1</v>
      </c>
      <c r="F640" s="295">
        <v>17.72</v>
      </c>
      <c r="G640" s="294">
        <v>0.23</v>
      </c>
      <c r="H640" s="294">
        <v>2.4500000000000002</v>
      </c>
      <c r="I640" s="298">
        <f t="shared" si="28"/>
        <v>9.99</v>
      </c>
      <c r="J640" s="303"/>
      <c r="K640" s="72"/>
      <c r="L640" s="72"/>
      <c r="M640" s="72"/>
      <c r="N640" s="72">
        <f>5.185+0.23</f>
        <v>5.415</v>
      </c>
      <c r="O640" s="72">
        <f>3.215+0.23</f>
        <v>3.4449999999999998</v>
      </c>
      <c r="P640" s="72">
        <f>N640+O640</f>
        <v>8.86</v>
      </c>
      <c r="Q640" s="144">
        <f>P640*2</f>
        <v>17.72</v>
      </c>
      <c r="R640" s="72"/>
      <c r="S640" s="72"/>
      <c r="T640" s="72"/>
      <c r="U640" s="72"/>
      <c r="V640" s="72"/>
      <c r="W640" s="72"/>
      <c r="X640" s="72"/>
      <c r="Y640" s="72"/>
      <c r="Z640" s="72"/>
      <c r="AA640" s="72"/>
      <c r="AB640" s="72"/>
      <c r="AC640" s="72"/>
      <c r="AD640" s="72"/>
    </row>
    <row r="641" spans="1:30" s="71" customFormat="1" ht="20.25" customHeight="1">
      <c r="A641" s="294"/>
      <c r="B641" s="297" t="s">
        <v>426</v>
      </c>
      <c r="C641" s="294">
        <v>-1</v>
      </c>
      <c r="D641" s="294">
        <v>1</v>
      </c>
      <c r="E641" s="294">
        <v>1</v>
      </c>
      <c r="F641" s="295">
        <v>0.9</v>
      </c>
      <c r="G641" s="294">
        <v>0.23</v>
      </c>
      <c r="H641" s="295">
        <v>2.1</v>
      </c>
      <c r="I641" s="298">
        <f t="shared" si="28"/>
        <v>-0.43</v>
      </c>
      <c r="J641" s="303"/>
      <c r="K641" s="72"/>
      <c r="L641" s="72"/>
      <c r="M641" s="72"/>
      <c r="N641" s="72"/>
      <c r="O641" s="72"/>
      <c r="P641" s="72"/>
      <c r="Q641" s="144"/>
      <c r="R641" s="72"/>
      <c r="S641" s="72"/>
      <c r="T641" s="72"/>
      <c r="U641" s="72"/>
      <c r="V641" s="72"/>
      <c r="W641" s="72"/>
      <c r="X641" s="72"/>
      <c r="Y641" s="72"/>
      <c r="Z641" s="72"/>
      <c r="AA641" s="72"/>
      <c r="AB641" s="72"/>
      <c r="AC641" s="72"/>
      <c r="AD641" s="72"/>
    </row>
    <row r="642" spans="1:30" s="71" customFormat="1" ht="20.25" customHeight="1">
      <c r="A642" s="294"/>
      <c r="B642" s="297" t="s">
        <v>786</v>
      </c>
      <c r="C642" s="294">
        <v>1</v>
      </c>
      <c r="D642" s="294">
        <v>1</v>
      </c>
      <c r="E642" s="294">
        <v>1</v>
      </c>
      <c r="F642" s="300">
        <v>1.3149999999999999</v>
      </c>
      <c r="G642" s="294">
        <v>0.23</v>
      </c>
      <c r="H642" s="295">
        <v>2.1</v>
      </c>
      <c r="I642" s="298">
        <f t="shared" si="28"/>
        <v>0.64</v>
      </c>
      <c r="J642" s="303"/>
      <c r="K642" s="72"/>
      <c r="L642" s="72"/>
      <c r="M642" s="72"/>
      <c r="N642" s="72"/>
      <c r="O642" s="72"/>
      <c r="P642" s="72"/>
      <c r="Q642" s="144"/>
      <c r="R642" s="72"/>
      <c r="S642" s="72"/>
      <c r="T642" s="72"/>
      <c r="U642" s="72"/>
      <c r="V642" s="72"/>
      <c r="W642" s="72"/>
      <c r="X642" s="72"/>
      <c r="Y642" s="72"/>
      <c r="Z642" s="72"/>
      <c r="AA642" s="72"/>
      <c r="AB642" s="72"/>
      <c r="AC642" s="72"/>
      <c r="AD642" s="72"/>
    </row>
    <row r="643" spans="1:30" s="71" customFormat="1" ht="20.25" customHeight="1">
      <c r="A643" s="294"/>
      <c r="B643" s="297" t="s">
        <v>785</v>
      </c>
      <c r="C643" s="294">
        <v>1</v>
      </c>
      <c r="D643" s="294">
        <v>1</v>
      </c>
      <c r="E643" s="294">
        <v>2</v>
      </c>
      <c r="F643" s="300">
        <v>7.2450000000000001</v>
      </c>
      <c r="G643" s="294">
        <v>0.23</v>
      </c>
      <c r="H643" s="295">
        <v>0.6</v>
      </c>
      <c r="I643" s="298">
        <f t="shared" si="28"/>
        <v>2</v>
      </c>
      <c r="J643" s="303"/>
      <c r="K643" s="72"/>
      <c r="L643" s="72"/>
      <c r="M643" s="72"/>
      <c r="N643" s="72">
        <f>1.9+0.115+3.1+0.115+1.9+0.115</f>
        <v>7.2450000000000001</v>
      </c>
      <c r="O643" s="72"/>
      <c r="P643" s="72"/>
      <c r="Q643" s="144"/>
      <c r="R643" s="72"/>
      <c r="S643" s="72"/>
      <c r="T643" s="72"/>
      <c r="U643" s="72"/>
      <c r="V643" s="72"/>
      <c r="W643" s="72"/>
      <c r="X643" s="72"/>
      <c r="Y643" s="72"/>
      <c r="Z643" s="72"/>
      <c r="AA643" s="72"/>
      <c r="AB643" s="72"/>
      <c r="AC643" s="72"/>
      <c r="AD643" s="72"/>
    </row>
    <row r="644" spans="1:30" s="71" customFormat="1" ht="20.25" customHeight="1">
      <c r="A644" s="294"/>
      <c r="B644" s="297" t="s">
        <v>784</v>
      </c>
      <c r="C644" s="294">
        <v>1</v>
      </c>
      <c r="D644" s="294">
        <v>1</v>
      </c>
      <c r="E644" s="294">
        <v>2</v>
      </c>
      <c r="F644" s="295">
        <v>5.23</v>
      </c>
      <c r="G644" s="294">
        <v>0.23</v>
      </c>
      <c r="H644" s="295">
        <v>0.6</v>
      </c>
      <c r="I644" s="298">
        <f t="shared" si="28"/>
        <v>1.44</v>
      </c>
      <c r="J644" s="303"/>
      <c r="K644" s="72"/>
      <c r="L644" s="72"/>
      <c r="M644" s="72"/>
      <c r="N644" s="139">
        <f>3.1+0.115+1.9+0.115</f>
        <v>5.23</v>
      </c>
      <c r="O644" s="72"/>
      <c r="P644" s="72"/>
      <c r="Q644" s="144"/>
      <c r="R644" s="72"/>
      <c r="S644" s="72"/>
      <c r="T644" s="72"/>
      <c r="U644" s="72"/>
      <c r="V644" s="72"/>
      <c r="W644" s="72"/>
      <c r="X644" s="72"/>
      <c r="Y644" s="72"/>
      <c r="Z644" s="72"/>
      <c r="AA644" s="72"/>
      <c r="AB644" s="72"/>
      <c r="AC644" s="72"/>
      <c r="AD644" s="72"/>
    </row>
    <row r="645" spans="1:30" s="71" customFormat="1" ht="20.25" customHeight="1">
      <c r="A645" s="294"/>
      <c r="B645" s="297" t="s">
        <v>783</v>
      </c>
      <c r="C645" s="294">
        <v>1</v>
      </c>
      <c r="D645" s="294">
        <v>1</v>
      </c>
      <c r="E645" s="294">
        <v>4</v>
      </c>
      <c r="F645" s="300">
        <v>2.0150000000000001</v>
      </c>
      <c r="G645" s="294">
        <v>0.23</v>
      </c>
      <c r="H645" s="295">
        <v>0.6</v>
      </c>
      <c r="I645" s="298">
        <f t="shared" si="28"/>
        <v>1.1100000000000001</v>
      </c>
      <c r="J645" s="303"/>
      <c r="K645" s="72"/>
      <c r="L645" s="72"/>
      <c r="M645" s="72"/>
      <c r="N645" s="72">
        <f>1.9+0.115</f>
        <v>2.0150000000000001</v>
      </c>
      <c r="O645" s="72"/>
      <c r="P645" s="72"/>
      <c r="Q645" s="144"/>
      <c r="R645" s="72"/>
      <c r="S645" s="72"/>
      <c r="T645" s="72"/>
      <c r="U645" s="72"/>
      <c r="V645" s="72"/>
      <c r="W645" s="72"/>
      <c r="X645" s="72"/>
      <c r="Y645" s="72"/>
      <c r="Z645" s="72"/>
      <c r="AA645" s="72"/>
      <c r="AB645" s="72"/>
      <c r="AC645" s="72"/>
      <c r="AD645" s="72"/>
    </row>
    <row r="646" spans="1:30" s="71" customFormat="1" ht="20.25" customHeight="1">
      <c r="A646" s="294"/>
      <c r="B646" s="297" t="s">
        <v>783</v>
      </c>
      <c r="C646" s="294">
        <v>1</v>
      </c>
      <c r="D646" s="294">
        <v>1</v>
      </c>
      <c r="E646" s="294">
        <v>4</v>
      </c>
      <c r="F646" s="295">
        <v>4</v>
      </c>
      <c r="G646" s="294">
        <v>0.23</v>
      </c>
      <c r="H646" s="295">
        <v>0.6</v>
      </c>
      <c r="I646" s="298">
        <f t="shared" si="28"/>
        <v>2.21</v>
      </c>
      <c r="J646" s="303"/>
      <c r="K646" s="72"/>
      <c r="L646" s="72"/>
      <c r="M646" s="72"/>
      <c r="N646" s="144">
        <f>1.685+1.341+0.744+0.23</f>
        <v>4</v>
      </c>
      <c r="O646" s="72"/>
      <c r="P646" s="72"/>
      <c r="Q646" s="144"/>
      <c r="R646" s="72"/>
      <c r="S646" s="72"/>
      <c r="T646" s="72"/>
      <c r="U646" s="72"/>
      <c r="V646" s="72"/>
      <c r="W646" s="72"/>
      <c r="X646" s="72"/>
      <c r="Y646" s="72"/>
      <c r="Z646" s="72"/>
      <c r="AA646" s="72"/>
      <c r="AB646" s="72"/>
      <c r="AC646" s="72"/>
      <c r="AD646" s="72"/>
    </row>
    <row r="647" spans="1:30" s="71" customFormat="1" ht="20.25" customHeight="1">
      <c r="A647" s="294"/>
      <c r="B647" s="293" t="s">
        <v>782</v>
      </c>
      <c r="C647" s="294">
        <v>1</v>
      </c>
      <c r="D647" s="294">
        <v>1</v>
      </c>
      <c r="E647" s="294">
        <v>4</v>
      </c>
      <c r="F647" s="300">
        <v>8.6440000000000001</v>
      </c>
      <c r="G647" s="294">
        <v>0.23</v>
      </c>
      <c r="H647" s="294">
        <v>2.4500000000000002</v>
      </c>
      <c r="I647" s="298">
        <f t="shared" si="28"/>
        <v>19.48</v>
      </c>
      <c r="J647" s="303"/>
      <c r="K647" s="72"/>
      <c r="L647" s="72"/>
      <c r="M647" s="72"/>
      <c r="N647" s="72"/>
      <c r="O647" s="72"/>
      <c r="P647" s="72"/>
      <c r="Q647" s="144"/>
      <c r="R647" s="72"/>
      <c r="S647" s="72"/>
      <c r="T647" s="72"/>
      <c r="U647" s="72"/>
      <c r="V647" s="72"/>
      <c r="W647" s="72"/>
      <c r="X647" s="72"/>
      <c r="Y647" s="72"/>
      <c r="Z647" s="72"/>
      <c r="AA647" s="72"/>
      <c r="AB647" s="72"/>
      <c r="AC647" s="72"/>
      <c r="AD647" s="72"/>
    </row>
    <row r="648" spans="1:30" s="71" customFormat="1" ht="20.25" customHeight="1">
      <c r="A648" s="294"/>
      <c r="B648" s="293" t="s">
        <v>782</v>
      </c>
      <c r="C648" s="294">
        <v>1</v>
      </c>
      <c r="D648" s="294">
        <v>1</v>
      </c>
      <c r="E648" s="294">
        <v>4</v>
      </c>
      <c r="F648" s="295">
        <v>2.7</v>
      </c>
      <c r="G648" s="294">
        <v>0.23</v>
      </c>
      <c r="H648" s="294">
        <v>2.4500000000000002</v>
      </c>
      <c r="I648" s="298">
        <f t="shared" si="28"/>
        <v>6.09</v>
      </c>
      <c r="J648" s="303"/>
      <c r="K648" s="72"/>
      <c r="L648" s="72"/>
      <c r="M648" s="72"/>
      <c r="N648" s="72"/>
      <c r="O648" s="72"/>
      <c r="P648" s="72"/>
      <c r="Q648" s="144"/>
      <c r="R648" s="72"/>
      <c r="S648" s="72"/>
      <c r="T648" s="72"/>
      <c r="U648" s="72"/>
      <c r="V648" s="72"/>
      <c r="W648" s="72"/>
      <c r="X648" s="72"/>
      <c r="Y648" s="72"/>
      <c r="Z648" s="72"/>
      <c r="AA648" s="72"/>
      <c r="AB648" s="72"/>
      <c r="AC648" s="72"/>
      <c r="AD648" s="72"/>
    </row>
    <row r="649" spans="1:30" s="71" customFormat="1" ht="20.25" customHeight="1">
      <c r="A649" s="294"/>
      <c r="B649" s="293" t="s">
        <v>782</v>
      </c>
      <c r="C649" s="294">
        <v>1</v>
      </c>
      <c r="D649" s="294">
        <v>1</v>
      </c>
      <c r="E649" s="294">
        <v>4</v>
      </c>
      <c r="F649" s="295">
        <v>2.85</v>
      </c>
      <c r="G649" s="294">
        <v>0.23</v>
      </c>
      <c r="H649" s="294">
        <v>2.4500000000000002</v>
      </c>
      <c r="I649" s="298">
        <f t="shared" si="28"/>
        <v>6.42</v>
      </c>
      <c r="J649" s="303"/>
      <c r="K649" s="72"/>
      <c r="L649" s="72"/>
      <c r="M649" s="72"/>
      <c r="N649" s="72"/>
      <c r="O649" s="72"/>
      <c r="P649" s="72"/>
      <c r="Q649" s="144"/>
      <c r="R649" s="72"/>
      <c r="S649" s="72"/>
      <c r="T649" s="72"/>
      <c r="U649" s="72"/>
      <c r="V649" s="72"/>
      <c r="W649" s="72"/>
      <c r="X649" s="72"/>
      <c r="Y649" s="72"/>
      <c r="Z649" s="72"/>
      <c r="AA649" s="72"/>
      <c r="AB649" s="72"/>
      <c r="AC649" s="72"/>
      <c r="AD649" s="72"/>
    </row>
    <row r="650" spans="1:30" s="71" customFormat="1" ht="20.25" customHeight="1">
      <c r="A650" s="294"/>
      <c r="B650" s="293" t="s">
        <v>781</v>
      </c>
      <c r="C650" s="294">
        <v>1</v>
      </c>
      <c r="D650" s="294">
        <v>2</v>
      </c>
      <c r="E650" s="294">
        <v>3</v>
      </c>
      <c r="F650" s="300">
        <v>5.7789999999999999</v>
      </c>
      <c r="G650" s="294">
        <v>0.23</v>
      </c>
      <c r="H650" s="294">
        <v>2.4500000000000002</v>
      </c>
      <c r="I650" s="298">
        <f t="shared" si="28"/>
        <v>19.54</v>
      </c>
      <c r="J650" s="303"/>
      <c r="K650" s="72"/>
      <c r="L650" s="72"/>
      <c r="M650" s="72"/>
      <c r="N650" s="72"/>
      <c r="O650" s="72"/>
      <c r="P650" s="72"/>
      <c r="Q650" s="144"/>
      <c r="R650" s="72"/>
      <c r="S650" s="72"/>
      <c r="T650" s="72"/>
      <c r="U650" s="72"/>
      <c r="V650" s="72"/>
      <c r="W650" s="72"/>
      <c r="X650" s="72"/>
      <c r="Y650" s="72"/>
      <c r="Z650" s="72"/>
      <c r="AA650" s="72"/>
      <c r="AB650" s="72"/>
      <c r="AC650" s="72"/>
      <c r="AD650" s="72"/>
    </row>
    <row r="651" spans="1:30" s="71" customFormat="1" ht="20.25" customHeight="1">
      <c r="A651" s="294"/>
      <c r="B651" s="293" t="s">
        <v>781</v>
      </c>
      <c r="C651" s="294">
        <v>1</v>
      </c>
      <c r="D651" s="294">
        <v>1</v>
      </c>
      <c r="E651" s="294">
        <v>3</v>
      </c>
      <c r="F651" s="300">
        <v>2.85</v>
      </c>
      <c r="G651" s="294">
        <v>0.23</v>
      </c>
      <c r="H651" s="294">
        <v>2.4500000000000002</v>
      </c>
      <c r="I651" s="298">
        <f t="shared" si="28"/>
        <v>4.82</v>
      </c>
      <c r="J651" s="303"/>
      <c r="K651" s="72"/>
      <c r="L651" s="72"/>
      <c r="M651" s="72"/>
      <c r="N651" s="72"/>
      <c r="O651" s="72"/>
      <c r="P651" s="72"/>
      <c r="Q651" s="144"/>
      <c r="R651" s="72"/>
      <c r="S651" s="72"/>
      <c r="T651" s="72"/>
      <c r="U651" s="72"/>
      <c r="V651" s="72"/>
      <c r="W651" s="72"/>
      <c r="X651" s="72"/>
      <c r="Y651" s="72"/>
      <c r="Z651" s="72"/>
      <c r="AA651" s="72"/>
      <c r="AB651" s="72"/>
      <c r="AC651" s="72"/>
      <c r="AD651" s="72"/>
    </row>
    <row r="652" spans="1:30" s="71" customFormat="1" ht="20.25" customHeight="1">
      <c r="A652" s="294"/>
      <c r="B652" s="293" t="s">
        <v>773</v>
      </c>
      <c r="C652" s="294">
        <v>-1</v>
      </c>
      <c r="D652" s="294">
        <v>1</v>
      </c>
      <c r="E652" s="294">
        <v>3</v>
      </c>
      <c r="F652" s="295">
        <v>1.5</v>
      </c>
      <c r="G652" s="294">
        <v>0.23</v>
      </c>
      <c r="H652" s="294">
        <v>1.35</v>
      </c>
      <c r="I652" s="298">
        <f t="shared" si="28"/>
        <v>-1.4</v>
      </c>
      <c r="J652" s="303"/>
      <c r="K652" s="72"/>
      <c r="L652" s="72"/>
      <c r="M652" s="72"/>
      <c r="N652" s="72"/>
      <c r="O652" s="72"/>
      <c r="P652" s="72"/>
      <c r="Q652" s="144"/>
      <c r="R652" s="72"/>
      <c r="S652" s="72"/>
      <c r="T652" s="72"/>
      <c r="U652" s="72"/>
      <c r="V652" s="72"/>
      <c r="W652" s="72"/>
      <c r="X652" s="72"/>
      <c r="Y652" s="72"/>
      <c r="Z652" s="72"/>
      <c r="AA652" s="72"/>
      <c r="AB652" s="72"/>
      <c r="AC652" s="72"/>
      <c r="AD652" s="72"/>
    </row>
    <row r="653" spans="1:30" s="71" customFormat="1" ht="20.25" customHeight="1">
      <c r="A653" s="294"/>
      <c r="B653" s="293" t="s">
        <v>645</v>
      </c>
      <c r="C653" s="294">
        <v>-1</v>
      </c>
      <c r="D653" s="294">
        <v>2</v>
      </c>
      <c r="E653" s="294">
        <v>3</v>
      </c>
      <c r="F653" s="295">
        <v>1.2</v>
      </c>
      <c r="G653" s="294">
        <v>0.23</v>
      </c>
      <c r="H653" s="294">
        <v>1.35</v>
      </c>
      <c r="I653" s="298">
        <f t="shared" si="28"/>
        <v>-2.2400000000000002</v>
      </c>
      <c r="J653" s="303"/>
      <c r="K653" s="72"/>
      <c r="L653" s="72"/>
      <c r="M653" s="72"/>
      <c r="N653" s="72"/>
      <c r="O653" s="72"/>
      <c r="P653" s="72"/>
      <c r="Q653" s="144"/>
      <c r="R653" s="72"/>
      <c r="S653" s="72"/>
      <c r="T653" s="72"/>
      <c r="U653" s="72"/>
      <c r="V653" s="72"/>
      <c r="W653" s="72"/>
      <c r="X653" s="72"/>
      <c r="Y653" s="72"/>
      <c r="Z653" s="72"/>
      <c r="AA653" s="72"/>
      <c r="AB653" s="72"/>
      <c r="AC653" s="72"/>
      <c r="AD653" s="72"/>
    </row>
    <row r="654" spans="1:30" s="71" customFormat="1" ht="20.25" customHeight="1">
      <c r="A654" s="294"/>
      <c r="B654" s="293" t="s">
        <v>780</v>
      </c>
      <c r="C654" s="294">
        <v>1</v>
      </c>
      <c r="D654" s="294">
        <v>2</v>
      </c>
      <c r="E654" s="294">
        <v>2</v>
      </c>
      <c r="F654" s="295">
        <v>2.0499999999999998</v>
      </c>
      <c r="G654" s="294">
        <v>0.23</v>
      </c>
      <c r="H654" s="294">
        <v>2.4500000000000002</v>
      </c>
      <c r="I654" s="298">
        <f t="shared" si="28"/>
        <v>4.62</v>
      </c>
      <c r="J654" s="303"/>
      <c r="K654" s="72"/>
      <c r="L654" s="72"/>
      <c r="M654" s="72"/>
      <c r="N654" s="72"/>
      <c r="O654" s="72"/>
      <c r="P654" s="72"/>
      <c r="Q654" s="144"/>
      <c r="R654" s="72"/>
      <c r="S654" s="72"/>
      <c r="T654" s="72"/>
      <c r="U654" s="72"/>
      <c r="V654" s="72"/>
      <c r="W654" s="72"/>
      <c r="X654" s="72"/>
      <c r="Y654" s="72"/>
      <c r="Z654" s="72"/>
      <c r="AA654" s="72"/>
      <c r="AB654" s="72"/>
      <c r="AC654" s="72"/>
      <c r="AD654" s="72"/>
    </row>
    <row r="655" spans="1:30" s="71" customFormat="1" ht="20.25" customHeight="1">
      <c r="A655" s="294"/>
      <c r="B655" s="293" t="s">
        <v>779</v>
      </c>
      <c r="C655" s="294">
        <v>1</v>
      </c>
      <c r="D655" s="294">
        <v>1</v>
      </c>
      <c r="E655" s="294">
        <v>4</v>
      </c>
      <c r="F655" s="295">
        <v>3.33</v>
      </c>
      <c r="G655" s="294">
        <v>0.23</v>
      </c>
      <c r="H655" s="294">
        <v>2.4500000000000002</v>
      </c>
      <c r="I655" s="298">
        <f t="shared" si="28"/>
        <v>7.51</v>
      </c>
      <c r="J655" s="303"/>
      <c r="K655" s="72"/>
      <c r="L655" s="72"/>
      <c r="M655" s="72"/>
      <c r="N655" s="72"/>
      <c r="O655" s="72"/>
      <c r="P655" s="72"/>
      <c r="Q655" s="144"/>
      <c r="R655" s="72"/>
      <c r="S655" s="72"/>
      <c r="T655" s="72"/>
      <c r="U655" s="72"/>
      <c r="V655" s="72"/>
      <c r="W655" s="72"/>
      <c r="X655" s="72"/>
      <c r="Y655" s="72"/>
      <c r="Z655" s="72"/>
      <c r="AA655" s="72"/>
      <c r="AB655" s="72"/>
      <c r="AC655" s="72"/>
      <c r="AD655" s="72"/>
    </row>
    <row r="656" spans="1:30" s="71" customFormat="1" ht="20.25" customHeight="1">
      <c r="A656" s="294"/>
      <c r="B656" s="293" t="s">
        <v>439</v>
      </c>
      <c r="C656" s="294">
        <v>-1</v>
      </c>
      <c r="D656" s="294">
        <v>1</v>
      </c>
      <c r="E656" s="294">
        <v>4</v>
      </c>
      <c r="F656" s="295">
        <v>1.2</v>
      </c>
      <c r="G656" s="294">
        <v>0.23</v>
      </c>
      <c r="H656" s="295">
        <v>2.1</v>
      </c>
      <c r="I656" s="298">
        <f t="shared" si="28"/>
        <v>-2.3199999999999998</v>
      </c>
      <c r="J656" s="303"/>
      <c r="K656" s="72"/>
      <c r="L656" s="72"/>
      <c r="M656" s="72"/>
      <c r="N656" s="72"/>
      <c r="O656" s="72"/>
      <c r="P656" s="72"/>
      <c r="Q656" s="144"/>
      <c r="R656" s="72"/>
      <c r="S656" s="72"/>
      <c r="T656" s="72"/>
      <c r="U656" s="72"/>
      <c r="V656" s="72"/>
      <c r="W656" s="72"/>
      <c r="X656" s="72"/>
      <c r="Y656" s="72"/>
      <c r="Z656" s="72"/>
      <c r="AA656" s="72"/>
      <c r="AB656" s="72"/>
      <c r="AC656" s="72"/>
      <c r="AD656" s="72"/>
    </row>
    <row r="657" spans="1:30" s="71" customFormat="1" ht="20.25" customHeight="1">
      <c r="A657" s="294"/>
      <c r="B657" s="293" t="s">
        <v>778</v>
      </c>
      <c r="C657" s="294">
        <v>-1</v>
      </c>
      <c r="D657" s="294">
        <v>1</v>
      </c>
      <c r="E657" s="294">
        <v>4</v>
      </c>
      <c r="F657" s="295">
        <v>1.5</v>
      </c>
      <c r="G657" s="294">
        <v>0.23</v>
      </c>
      <c r="H657" s="295">
        <v>2.1</v>
      </c>
      <c r="I657" s="298">
        <f t="shared" si="28"/>
        <v>-2.9</v>
      </c>
      <c r="J657" s="303"/>
      <c r="K657" s="72"/>
      <c r="L657" s="72"/>
      <c r="M657" s="72"/>
      <c r="N657" s="72"/>
      <c r="O657" s="72"/>
      <c r="P657" s="72"/>
      <c r="Q657" s="144"/>
      <c r="R657" s="72"/>
      <c r="S657" s="72"/>
      <c r="T657" s="72"/>
      <c r="U657" s="72"/>
      <c r="V657" s="72"/>
      <c r="W657" s="72"/>
      <c r="X657" s="72"/>
      <c r="Y657" s="72"/>
      <c r="Z657" s="72"/>
      <c r="AA657" s="72"/>
      <c r="AB657" s="72"/>
      <c r="AC657" s="72"/>
      <c r="AD657" s="72"/>
    </row>
    <row r="658" spans="1:30" s="71" customFormat="1" ht="20.25" customHeight="1">
      <c r="A658" s="294"/>
      <c r="B658" s="293" t="s">
        <v>777</v>
      </c>
      <c r="C658" s="294">
        <v>1</v>
      </c>
      <c r="D658" s="294">
        <v>1</v>
      </c>
      <c r="E658" s="294">
        <v>2</v>
      </c>
      <c r="F658" s="300">
        <v>1.4950000000000001</v>
      </c>
      <c r="G658" s="294">
        <v>0.23</v>
      </c>
      <c r="H658" s="295">
        <v>2.4500000000000002</v>
      </c>
      <c r="I658" s="298">
        <f t="shared" si="28"/>
        <v>1.68</v>
      </c>
      <c r="J658" s="303"/>
      <c r="K658" s="72"/>
      <c r="L658" s="72"/>
      <c r="M658" s="72"/>
      <c r="N658" s="72"/>
      <c r="O658" s="72"/>
      <c r="P658" s="72"/>
      <c r="Q658" s="144"/>
      <c r="R658" s="72"/>
      <c r="S658" s="72"/>
      <c r="T658" s="72"/>
      <c r="U658" s="72"/>
      <c r="V658" s="72"/>
      <c r="W658" s="72"/>
      <c r="X658" s="72"/>
      <c r="Y658" s="72"/>
      <c r="Z658" s="72"/>
      <c r="AA658" s="72"/>
      <c r="AB658" s="72"/>
      <c r="AC658" s="72"/>
      <c r="AD658" s="72"/>
    </row>
    <row r="659" spans="1:30" s="71" customFormat="1" ht="20.25" customHeight="1">
      <c r="A659" s="294"/>
      <c r="B659" s="293" t="s">
        <v>776</v>
      </c>
      <c r="C659" s="294">
        <v>1</v>
      </c>
      <c r="D659" s="294">
        <v>1</v>
      </c>
      <c r="E659" s="294">
        <v>1</v>
      </c>
      <c r="F659" s="300">
        <v>3.0150000000000001</v>
      </c>
      <c r="G659" s="294">
        <v>0.23</v>
      </c>
      <c r="H659" s="295">
        <v>2.4500000000000002</v>
      </c>
      <c r="I659" s="298">
        <f t="shared" si="28"/>
        <v>1.7</v>
      </c>
      <c r="J659" s="303"/>
      <c r="K659" s="72"/>
      <c r="L659" s="72"/>
      <c r="M659" s="72"/>
      <c r="N659" s="72"/>
      <c r="O659" s="72"/>
      <c r="P659" s="72"/>
      <c r="Q659" s="144"/>
      <c r="R659" s="72"/>
      <c r="S659" s="72"/>
      <c r="T659" s="72"/>
      <c r="U659" s="72"/>
      <c r="V659" s="72"/>
      <c r="W659" s="72"/>
      <c r="X659" s="72"/>
      <c r="Y659" s="72"/>
      <c r="Z659" s="72"/>
      <c r="AA659" s="72"/>
      <c r="AB659" s="72"/>
      <c r="AC659" s="72"/>
      <c r="AD659" s="72"/>
    </row>
    <row r="660" spans="1:30" s="71" customFormat="1" ht="20.25" customHeight="1">
      <c r="A660" s="294"/>
      <c r="B660" s="293" t="s">
        <v>775</v>
      </c>
      <c r="C660" s="294">
        <v>1</v>
      </c>
      <c r="D660" s="294">
        <v>1</v>
      </c>
      <c r="E660" s="294">
        <v>4</v>
      </c>
      <c r="F660" s="295">
        <v>2.2999999999999998</v>
      </c>
      <c r="G660" s="294">
        <v>0.23</v>
      </c>
      <c r="H660" s="295">
        <v>2.4500000000000002</v>
      </c>
      <c r="I660" s="298">
        <f t="shared" si="28"/>
        <v>5.18</v>
      </c>
      <c r="J660" s="303"/>
      <c r="K660" s="72"/>
      <c r="L660" s="72"/>
      <c r="M660" s="72"/>
      <c r="N660" s="72"/>
      <c r="O660" s="72"/>
      <c r="P660" s="72"/>
      <c r="Q660" s="144"/>
      <c r="R660" s="72"/>
      <c r="S660" s="72"/>
      <c r="T660" s="72"/>
      <c r="U660" s="72"/>
      <c r="V660" s="72"/>
      <c r="W660" s="72"/>
      <c r="X660" s="72"/>
      <c r="Y660" s="72"/>
      <c r="Z660" s="72"/>
      <c r="AA660" s="72"/>
      <c r="AB660" s="72"/>
      <c r="AC660" s="72"/>
      <c r="AD660" s="72"/>
    </row>
    <row r="661" spans="1:30" s="71" customFormat="1" ht="20.25" customHeight="1">
      <c r="A661" s="294"/>
      <c r="B661" s="293" t="s">
        <v>652</v>
      </c>
      <c r="C661" s="294">
        <v>-1</v>
      </c>
      <c r="D661" s="294">
        <v>1</v>
      </c>
      <c r="E661" s="294">
        <v>4</v>
      </c>
      <c r="F661" s="295">
        <v>1.5</v>
      </c>
      <c r="G661" s="294">
        <v>0.23</v>
      </c>
      <c r="H661" s="295">
        <v>2.1</v>
      </c>
      <c r="I661" s="298">
        <f t="shared" si="28"/>
        <v>-2.9</v>
      </c>
      <c r="J661" s="303"/>
      <c r="K661" s="72"/>
      <c r="L661" s="72"/>
      <c r="M661" s="72"/>
      <c r="N661" s="72"/>
      <c r="O661" s="72"/>
      <c r="P661" s="72"/>
      <c r="Q661" s="144"/>
      <c r="R661" s="72"/>
      <c r="S661" s="72"/>
      <c r="T661" s="72"/>
      <c r="U661" s="72"/>
      <c r="V661" s="72"/>
      <c r="W661" s="72"/>
      <c r="X661" s="72"/>
      <c r="Y661" s="72"/>
      <c r="Z661" s="72"/>
      <c r="AA661" s="72"/>
      <c r="AB661" s="72"/>
      <c r="AC661" s="72"/>
      <c r="AD661" s="72"/>
    </row>
    <row r="662" spans="1:30" s="71" customFormat="1" ht="20.25" customHeight="1">
      <c r="A662" s="294"/>
      <c r="B662" s="293" t="s">
        <v>774</v>
      </c>
      <c r="C662" s="294">
        <v>1</v>
      </c>
      <c r="D662" s="294">
        <v>1</v>
      </c>
      <c r="E662" s="294">
        <v>1</v>
      </c>
      <c r="F662" s="295">
        <v>2.3199999999999998</v>
      </c>
      <c r="G662" s="294">
        <v>0.23</v>
      </c>
      <c r="H662" s="295">
        <v>2.4500000000000002</v>
      </c>
      <c r="I662" s="298">
        <f t="shared" si="28"/>
        <v>1.31</v>
      </c>
      <c r="J662" s="303"/>
      <c r="K662" s="72"/>
      <c r="L662" s="72"/>
      <c r="M662" s="72"/>
      <c r="N662" s="72"/>
      <c r="O662" s="72"/>
      <c r="P662" s="72"/>
      <c r="Q662" s="144"/>
      <c r="R662" s="72"/>
      <c r="S662" s="72"/>
      <c r="T662" s="72"/>
      <c r="U662" s="72"/>
      <c r="V662" s="72"/>
      <c r="W662" s="72"/>
      <c r="X662" s="72"/>
      <c r="Y662" s="72"/>
      <c r="Z662" s="72"/>
      <c r="AA662" s="72"/>
      <c r="AB662" s="72"/>
      <c r="AC662" s="72"/>
      <c r="AD662" s="72"/>
    </row>
    <row r="663" spans="1:30" s="71" customFormat="1" ht="20.25" customHeight="1">
      <c r="A663" s="294"/>
      <c r="B663" s="293" t="s">
        <v>774</v>
      </c>
      <c r="C663" s="294">
        <v>1</v>
      </c>
      <c r="D663" s="294">
        <v>1</v>
      </c>
      <c r="E663" s="294">
        <v>1</v>
      </c>
      <c r="F663" s="300">
        <v>1.724</v>
      </c>
      <c r="G663" s="294">
        <v>0.23</v>
      </c>
      <c r="H663" s="295">
        <v>2.4500000000000002</v>
      </c>
      <c r="I663" s="298">
        <f t="shared" si="28"/>
        <v>0.97</v>
      </c>
      <c r="J663" s="303"/>
      <c r="K663" s="72"/>
      <c r="L663" s="72"/>
      <c r="M663" s="72"/>
      <c r="N663" s="72"/>
      <c r="O663" s="72"/>
      <c r="P663" s="72"/>
      <c r="Q663" s="144"/>
      <c r="R663" s="72"/>
      <c r="S663" s="72"/>
      <c r="T663" s="72"/>
      <c r="U663" s="72"/>
      <c r="V663" s="72"/>
      <c r="W663" s="72"/>
      <c r="X663" s="72"/>
      <c r="Y663" s="72"/>
      <c r="Z663" s="72"/>
      <c r="AA663" s="72"/>
      <c r="AB663" s="72"/>
      <c r="AC663" s="72"/>
      <c r="AD663" s="72"/>
    </row>
    <row r="664" spans="1:30" s="71" customFormat="1" ht="20.25" customHeight="1">
      <c r="A664" s="294"/>
      <c r="B664" s="293" t="s">
        <v>773</v>
      </c>
      <c r="C664" s="294">
        <v>-1</v>
      </c>
      <c r="D664" s="294">
        <v>1</v>
      </c>
      <c r="E664" s="294">
        <v>1</v>
      </c>
      <c r="F664" s="295">
        <v>1.5</v>
      </c>
      <c r="G664" s="294">
        <v>0.23</v>
      </c>
      <c r="H664" s="295">
        <v>1.35</v>
      </c>
      <c r="I664" s="298">
        <f t="shared" si="28"/>
        <v>-0.47</v>
      </c>
      <c r="J664" s="303"/>
      <c r="K664" s="72"/>
      <c r="L664" s="72"/>
      <c r="M664" s="72"/>
      <c r="N664" s="72"/>
      <c r="O664" s="72"/>
      <c r="P664" s="72"/>
      <c r="Q664" s="144"/>
      <c r="R664" s="72"/>
      <c r="S664" s="72"/>
      <c r="T664" s="72"/>
      <c r="U664" s="72"/>
      <c r="V664" s="72"/>
      <c r="W664" s="72"/>
      <c r="X664" s="72"/>
      <c r="Y664" s="72"/>
      <c r="Z664" s="72"/>
      <c r="AA664" s="72"/>
      <c r="AB664" s="72"/>
      <c r="AC664" s="72"/>
      <c r="AD664" s="72"/>
    </row>
    <row r="665" spans="1:30" s="71" customFormat="1" ht="20.25" customHeight="1">
      <c r="A665" s="294"/>
      <c r="B665" s="293" t="s">
        <v>772</v>
      </c>
      <c r="C665" s="294">
        <v>1</v>
      </c>
      <c r="D665" s="294">
        <v>1</v>
      </c>
      <c r="E665" s="294">
        <v>3</v>
      </c>
      <c r="F665" s="300">
        <v>2.95</v>
      </c>
      <c r="G665" s="294">
        <v>0.23</v>
      </c>
      <c r="H665" s="295">
        <v>2.4500000000000002</v>
      </c>
      <c r="I665" s="298">
        <f t="shared" si="28"/>
        <v>4.99</v>
      </c>
      <c r="J665" s="303"/>
      <c r="K665" s="72"/>
      <c r="L665" s="72"/>
      <c r="M665" s="72"/>
      <c r="N665" s="72"/>
      <c r="O665" s="72"/>
      <c r="P665" s="72"/>
      <c r="Q665" s="144"/>
      <c r="R665" s="72"/>
      <c r="S665" s="72"/>
      <c r="T665" s="72"/>
      <c r="U665" s="72"/>
      <c r="V665" s="72"/>
      <c r="W665" s="72"/>
      <c r="X665" s="72"/>
      <c r="Y665" s="72"/>
      <c r="Z665" s="72"/>
      <c r="AA665" s="72"/>
      <c r="AB665" s="72"/>
      <c r="AC665" s="72"/>
      <c r="AD665" s="72"/>
    </row>
    <row r="666" spans="1:30" s="115" customFormat="1" ht="24.75" customHeight="1">
      <c r="A666" s="307"/>
      <c r="B666" s="445" t="s">
        <v>944</v>
      </c>
      <c r="C666" s="307"/>
      <c r="D666" s="307"/>
      <c r="E666" s="307"/>
      <c r="F666" s="335"/>
      <c r="G666" s="308"/>
      <c r="H666" s="308"/>
      <c r="I666" s="323"/>
      <c r="J666" s="448"/>
      <c r="K666" s="117"/>
      <c r="L666" s="117"/>
      <c r="M666" s="117"/>
      <c r="N666" s="116"/>
      <c r="O666" s="116"/>
      <c r="P666" s="116"/>
      <c r="Q666" s="116"/>
      <c r="R666" s="116"/>
      <c r="S666" s="116"/>
      <c r="T666" s="116"/>
      <c r="U666" s="116"/>
      <c r="V666" s="116"/>
      <c r="W666" s="116"/>
      <c r="X666" s="116"/>
      <c r="Y666" s="116"/>
      <c r="Z666" s="116"/>
      <c r="AA666" s="116"/>
      <c r="AB666" s="116"/>
      <c r="AC666" s="116"/>
      <c r="AD666" s="116"/>
    </row>
    <row r="667" spans="1:30" s="6" customFormat="1">
      <c r="A667" s="427"/>
      <c r="B667" s="427" t="s">
        <v>931</v>
      </c>
      <c r="C667" s="428">
        <v>-1</v>
      </c>
      <c r="D667" s="428">
        <v>1</v>
      </c>
      <c r="E667" s="428">
        <v>30</v>
      </c>
      <c r="F667" s="430">
        <v>0.3</v>
      </c>
      <c r="G667" s="430">
        <v>0.45</v>
      </c>
      <c r="H667" s="430">
        <v>2.65</v>
      </c>
      <c r="I667" s="430">
        <f>PRODUCT(C667:H667)</f>
        <v>-10.73</v>
      </c>
      <c r="J667" s="431"/>
    </row>
    <row r="668" spans="1:30" s="6" customFormat="1">
      <c r="A668" s="427"/>
      <c r="B668" s="427" t="s">
        <v>75</v>
      </c>
      <c r="C668" s="428">
        <v>-1</v>
      </c>
      <c r="D668" s="428">
        <v>1</v>
      </c>
      <c r="E668" s="428">
        <v>11</v>
      </c>
      <c r="F668" s="430">
        <v>0.3</v>
      </c>
      <c r="G668" s="430">
        <v>0.6</v>
      </c>
      <c r="H668" s="430">
        <v>2.65</v>
      </c>
      <c r="I668" s="430">
        <f>PRODUCT(C668:H668)</f>
        <v>-5.25</v>
      </c>
      <c r="J668" s="431"/>
    </row>
    <row r="669" spans="1:30" s="6" customFormat="1">
      <c r="A669" s="427"/>
      <c r="B669" s="427" t="s">
        <v>76</v>
      </c>
      <c r="C669" s="428">
        <v>-1</v>
      </c>
      <c r="D669" s="428">
        <v>1</v>
      </c>
      <c r="E669" s="428">
        <v>1</v>
      </c>
      <c r="F669" s="430">
        <v>0.3</v>
      </c>
      <c r="G669" s="430">
        <v>0.6</v>
      </c>
      <c r="H669" s="430">
        <v>2.65</v>
      </c>
      <c r="I669" s="430">
        <f>PRODUCT(C669:H669)</f>
        <v>-0.48</v>
      </c>
      <c r="J669" s="431"/>
    </row>
    <row r="670" spans="1:30" s="2" customFormat="1" ht="23.25" customHeight="1">
      <c r="A670" s="278"/>
      <c r="B670" s="279"/>
      <c r="C670" s="280"/>
      <c r="D670" s="280"/>
      <c r="E670" s="280"/>
      <c r="F670" s="282"/>
      <c r="G670" s="282"/>
      <c r="H670" s="282"/>
      <c r="I670" s="283">
        <f>SUM(I626:I669)</f>
        <v>127.53</v>
      </c>
      <c r="J670" s="340" t="s">
        <v>21</v>
      </c>
      <c r="K670" s="39"/>
      <c r="L670" s="39"/>
      <c r="M670" s="39"/>
      <c r="N670" s="9"/>
      <c r="O670" s="9"/>
      <c r="P670" s="9"/>
      <c r="Q670" s="9"/>
      <c r="R670" s="9"/>
      <c r="S670" s="9"/>
      <c r="T670" s="9"/>
      <c r="U670" s="9"/>
      <c r="V670" s="9"/>
      <c r="W670" s="9"/>
      <c r="X670" s="9"/>
      <c r="Y670" s="9"/>
      <c r="Z670" s="9"/>
      <c r="AA670" s="9"/>
      <c r="AB670" s="9"/>
      <c r="AC670" s="9"/>
      <c r="AD670" s="9"/>
    </row>
    <row r="671" spans="1:30" s="2" customFormat="1" ht="23.25" customHeight="1">
      <c r="A671" s="278"/>
      <c r="B671" s="279"/>
      <c r="C671" s="280"/>
      <c r="D671" s="280"/>
      <c r="E671" s="280"/>
      <c r="F671" s="282"/>
      <c r="G671" s="282"/>
      <c r="H671" s="415" t="s">
        <v>55</v>
      </c>
      <c r="I671" s="416">
        <f>ROUNDUP(I670,0)</f>
        <v>128</v>
      </c>
      <c r="J671" s="343" t="s">
        <v>21</v>
      </c>
      <c r="K671" s="44"/>
      <c r="L671" s="44"/>
      <c r="M671" s="44"/>
      <c r="N671" s="9"/>
      <c r="O671" s="9"/>
      <c r="P671" s="9"/>
      <c r="Q671" s="9"/>
      <c r="R671" s="9"/>
      <c r="S671" s="9"/>
      <c r="T671" s="9"/>
      <c r="U671" s="9"/>
      <c r="V671" s="9"/>
      <c r="W671" s="9"/>
      <c r="X671" s="9"/>
      <c r="Y671" s="9"/>
      <c r="Z671" s="9"/>
      <c r="AA671" s="9"/>
      <c r="AB671" s="9"/>
      <c r="AC671" s="9"/>
      <c r="AD671" s="9"/>
    </row>
    <row r="672" spans="1:30" s="2" customFormat="1" ht="23.25" customHeight="1">
      <c r="A672" s="278"/>
      <c r="B672" s="286" t="s">
        <v>698</v>
      </c>
      <c r="C672" s="280"/>
      <c r="D672" s="280"/>
      <c r="E672" s="280"/>
      <c r="F672" s="282"/>
      <c r="G672" s="282"/>
      <c r="H672" s="282"/>
      <c r="I672" s="283"/>
      <c r="J672" s="284"/>
      <c r="K672" s="43"/>
      <c r="L672" s="43"/>
      <c r="M672" s="43"/>
      <c r="N672" s="9"/>
      <c r="O672" s="9"/>
      <c r="P672" s="9"/>
      <c r="Q672" s="9"/>
      <c r="R672" s="9"/>
      <c r="S672" s="9"/>
      <c r="T672" s="9"/>
      <c r="U672" s="9"/>
      <c r="V672" s="9"/>
      <c r="W672" s="9"/>
      <c r="X672" s="9"/>
      <c r="Y672" s="9"/>
      <c r="Z672" s="9"/>
      <c r="AA672" s="9"/>
      <c r="AB672" s="9"/>
      <c r="AC672" s="9"/>
      <c r="AD672" s="9"/>
    </row>
    <row r="673" spans="1:30" s="137" customFormat="1" ht="20.25" customHeight="1">
      <c r="A673" s="294"/>
      <c r="B673" s="293" t="s">
        <v>771</v>
      </c>
      <c r="C673" s="294">
        <v>1</v>
      </c>
      <c r="D673" s="294">
        <v>1</v>
      </c>
      <c r="E673" s="294">
        <v>1</v>
      </c>
      <c r="F673" s="294">
        <v>213.64599999999999</v>
      </c>
      <c r="G673" s="294">
        <v>0.23</v>
      </c>
      <c r="H673" s="294">
        <v>2.65</v>
      </c>
      <c r="I673" s="298">
        <f t="shared" ref="I673:I691" si="29">PRODUCT(C673:H673)</f>
        <v>130.22</v>
      </c>
      <c r="J673" s="322"/>
      <c r="K673" s="136"/>
      <c r="L673" s="136"/>
      <c r="M673" s="136"/>
      <c r="N673" s="136"/>
      <c r="O673" s="136"/>
      <c r="P673" s="136"/>
      <c r="Q673" s="136"/>
      <c r="R673" s="136"/>
      <c r="S673" s="136"/>
      <c r="T673" s="136"/>
      <c r="U673" s="136"/>
      <c r="V673" s="136"/>
      <c r="W673" s="136"/>
      <c r="X673" s="136"/>
      <c r="Y673" s="136"/>
      <c r="Z673" s="136"/>
      <c r="AA673" s="136"/>
      <c r="AB673" s="136"/>
      <c r="AC673" s="136"/>
      <c r="AD673" s="136"/>
    </row>
    <row r="674" spans="1:30" s="137" customFormat="1" ht="20.25" customHeight="1">
      <c r="A674" s="294"/>
      <c r="B674" s="297" t="s">
        <v>463</v>
      </c>
      <c r="C674" s="294">
        <v>1</v>
      </c>
      <c r="D674" s="294">
        <v>1</v>
      </c>
      <c r="E674" s="294">
        <v>5</v>
      </c>
      <c r="F674" s="300">
        <v>11.255000000000001</v>
      </c>
      <c r="G674" s="294">
        <v>0.23</v>
      </c>
      <c r="H674" s="294">
        <v>2.65</v>
      </c>
      <c r="I674" s="298">
        <f t="shared" si="29"/>
        <v>34.299999999999997</v>
      </c>
      <c r="J674" s="322"/>
      <c r="K674" s="136"/>
      <c r="L674" s="136"/>
      <c r="M674" s="136"/>
      <c r="N674" s="136"/>
      <c r="O674" s="136"/>
      <c r="P674" s="136"/>
      <c r="Q674" s="136"/>
      <c r="R674" s="136"/>
      <c r="S674" s="136"/>
      <c r="T674" s="136"/>
      <c r="U674" s="136"/>
      <c r="V674" s="136"/>
      <c r="W674" s="136"/>
      <c r="X674" s="136"/>
      <c r="Y674" s="136"/>
      <c r="Z674" s="136"/>
      <c r="AA674" s="136"/>
      <c r="AB674" s="136"/>
      <c r="AC674" s="136"/>
      <c r="AD674" s="136"/>
    </row>
    <row r="675" spans="1:30" s="137" customFormat="1" ht="20.25" customHeight="1">
      <c r="A675" s="294"/>
      <c r="B675" s="297" t="s">
        <v>770</v>
      </c>
      <c r="C675" s="294">
        <v>1</v>
      </c>
      <c r="D675" s="294">
        <v>1</v>
      </c>
      <c r="E675" s="294">
        <v>10</v>
      </c>
      <c r="F675" s="300">
        <v>6.9649999999999999</v>
      </c>
      <c r="G675" s="294">
        <v>0.23</v>
      </c>
      <c r="H675" s="294">
        <v>2.65</v>
      </c>
      <c r="I675" s="298">
        <f t="shared" si="29"/>
        <v>42.45</v>
      </c>
      <c r="J675" s="322"/>
      <c r="K675" s="136"/>
      <c r="L675" s="136"/>
      <c r="M675" s="136"/>
      <c r="N675" s="136"/>
      <c r="O675" s="136"/>
      <c r="P675" s="136"/>
      <c r="Q675" s="136"/>
      <c r="R675" s="136"/>
      <c r="S675" s="136"/>
      <c r="T675" s="136"/>
      <c r="U675" s="136"/>
      <c r="V675" s="136"/>
      <c r="W675" s="136"/>
      <c r="X675" s="136"/>
      <c r="Y675" s="136"/>
      <c r="Z675" s="136"/>
      <c r="AA675" s="136"/>
      <c r="AB675" s="136"/>
      <c r="AC675" s="136"/>
      <c r="AD675" s="136"/>
    </row>
    <row r="676" spans="1:30" s="137" customFormat="1" ht="20.25" customHeight="1">
      <c r="A676" s="294"/>
      <c r="B676" s="297" t="s">
        <v>769</v>
      </c>
      <c r="C676" s="294">
        <v>1</v>
      </c>
      <c r="D676" s="294">
        <v>1</v>
      </c>
      <c r="E676" s="294">
        <v>2</v>
      </c>
      <c r="F676" s="300">
        <v>7.89</v>
      </c>
      <c r="G676" s="294">
        <v>0.23</v>
      </c>
      <c r="H676" s="294">
        <v>2.65</v>
      </c>
      <c r="I676" s="298">
        <f t="shared" si="29"/>
        <v>9.6199999999999992</v>
      </c>
      <c r="J676" s="322"/>
      <c r="K676" s="136"/>
      <c r="L676" s="136"/>
      <c r="M676" s="136"/>
      <c r="N676" s="136"/>
      <c r="O676" s="136"/>
      <c r="P676" s="136"/>
      <c r="Q676" s="136"/>
      <c r="R676" s="136"/>
      <c r="S676" s="136"/>
      <c r="T676" s="136"/>
      <c r="U676" s="136"/>
      <c r="V676" s="136"/>
      <c r="W676" s="136"/>
      <c r="X676" s="136"/>
      <c r="Y676" s="136"/>
      <c r="Z676" s="136"/>
      <c r="AA676" s="136"/>
      <c r="AB676" s="136"/>
      <c r="AC676" s="136"/>
      <c r="AD676" s="136"/>
    </row>
    <row r="677" spans="1:30" s="137" customFormat="1" ht="20.25" customHeight="1">
      <c r="A677" s="294"/>
      <c r="B677" s="297" t="s">
        <v>769</v>
      </c>
      <c r="C677" s="294">
        <v>1</v>
      </c>
      <c r="D677" s="294">
        <v>1</v>
      </c>
      <c r="E677" s="294">
        <v>2</v>
      </c>
      <c r="F677" s="300">
        <v>5.0599999999999996</v>
      </c>
      <c r="G677" s="294">
        <v>0.23</v>
      </c>
      <c r="H677" s="294">
        <v>2.65</v>
      </c>
      <c r="I677" s="298">
        <f>PRODUCT(C677:H677)</f>
        <v>6.17</v>
      </c>
      <c r="J677" s="322"/>
      <c r="K677" s="136"/>
      <c r="L677" s="136"/>
      <c r="M677" s="136"/>
      <c r="N677" s="136"/>
      <c r="O677" s="136"/>
      <c r="P677" s="136"/>
      <c r="Q677" s="136"/>
      <c r="R677" s="136"/>
      <c r="S677" s="136"/>
      <c r="T677" s="136"/>
      <c r="U677" s="136"/>
      <c r="V677" s="136"/>
      <c r="W677" s="136"/>
      <c r="X677" s="136"/>
      <c r="Y677" s="136"/>
      <c r="Z677" s="136"/>
      <c r="AA677" s="136"/>
      <c r="AB677" s="136"/>
      <c r="AC677" s="136"/>
      <c r="AD677" s="136"/>
    </row>
    <row r="678" spans="1:30" s="137" customFormat="1" ht="20.25" customHeight="1">
      <c r="A678" s="294"/>
      <c r="B678" s="297" t="s">
        <v>769</v>
      </c>
      <c r="C678" s="294">
        <v>1</v>
      </c>
      <c r="D678" s="294">
        <v>1</v>
      </c>
      <c r="E678" s="294">
        <v>2</v>
      </c>
      <c r="F678" s="300">
        <v>7.1950000000000003</v>
      </c>
      <c r="G678" s="294">
        <v>0.23</v>
      </c>
      <c r="H678" s="294">
        <v>2.65</v>
      </c>
      <c r="I678" s="298">
        <f>PRODUCT(C678:H678)</f>
        <v>8.77</v>
      </c>
      <c r="J678" s="322"/>
      <c r="K678" s="136"/>
      <c r="L678" s="136"/>
      <c r="M678" s="136"/>
      <c r="N678" s="136"/>
      <c r="O678" s="136"/>
      <c r="P678" s="136"/>
      <c r="Q678" s="136"/>
      <c r="R678" s="136"/>
      <c r="S678" s="136"/>
      <c r="T678" s="136"/>
      <c r="U678" s="136"/>
      <c r="V678" s="136"/>
      <c r="W678" s="136"/>
      <c r="X678" s="136"/>
      <c r="Y678" s="136"/>
      <c r="Z678" s="136"/>
      <c r="AA678" s="136"/>
      <c r="AB678" s="136"/>
      <c r="AC678" s="136"/>
      <c r="AD678" s="136"/>
    </row>
    <row r="679" spans="1:30" s="137" customFormat="1" ht="20.25" customHeight="1">
      <c r="A679" s="294"/>
      <c r="B679" s="297" t="s">
        <v>769</v>
      </c>
      <c r="C679" s="294">
        <v>1</v>
      </c>
      <c r="D679" s="294">
        <v>1</v>
      </c>
      <c r="E679" s="294">
        <v>2</v>
      </c>
      <c r="F679" s="300">
        <v>4.46</v>
      </c>
      <c r="G679" s="294">
        <v>0.23</v>
      </c>
      <c r="H679" s="294">
        <v>2.65</v>
      </c>
      <c r="I679" s="298">
        <f>PRODUCT(C679:H679)</f>
        <v>5.44</v>
      </c>
      <c r="J679" s="322"/>
      <c r="K679" s="136"/>
      <c r="L679" s="136"/>
      <c r="M679" s="136"/>
      <c r="N679" s="136"/>
      <c r="O679" s="136"/>
      <c r="P679" s="136"/>
      <c r="Q679" s="136"/>
      <c r="R679" s="136"/>
      <c r="S679" s="136"/>
      <c r="T679" s="136"/>
      <c r="U679" s="136"/>
      <c r="V679" s="136"/>
      <c r="W679" s="136"/>
      <c r="X679" s="136"/>
      <c r="Y679" s="136"/>
      <c r="Z679" s="136"/>
      <c r="AA679" s="136"/>
      <c r="AB679" s="136"/>
      <c r="AC679" s="136"/>
      <c r="AD679" s="136"/>
    </row>
    <row r="680" spans="1:30" s="137" customFormat="1" ht="20.25" customHeight="1">
      <c r="A680" s="294"/>
      <c r="B680" s="297" t="s">
        <v>769</v>
      </c>
      <c r="C680" s="294">
        <v>1</v>
      </c>
      <c r="D680" s="294">
        <v>1</v>
      </c>
      <c r="E680" s="294">
        <v>2</v>
      </c>
      <c r="F680" s="300">
        <v>6.3869999999999996</v>
      </c>
      <c r="G680" s="294">
        <v>0.23</v>
      </c>
      <c r="H680" s="294">
        <v>2.65</v>
      </c>
      <c r="I680" s="298">
        <f>PRODUCT(C680:H680)</f>
        <v>7.79</v>
      </c>
      <c r="J680" s="322"/>
      <c r="K680" s="136"/>
      <c r="L680" s="136"/>
      <c r="M680" s="136"/>
      <c r="N680" s="136"/>
      <c r="O680" s="136"/>
      <c r="P680" s="136"/>
      <c r="Q680" s="136"/>
      <c r="R680" s="136"/>
      <c r="S680" s="136"/>
      <c r="T680" s="136"/>
      <c r="U680" s="136"/>
      <c r="V680" s="136"/>
      <c r="W680" s="136"/>
      <c r="X680" s="136"/>
      <c r="Y680" s="136"/>
      <c r="Z680" s="136"/>
      <c r="AA680" s="136"/>
      <c r="AB680" s="136"/>
      <c r="AC680" s="136"/>
      <c r="AD680" s="136"/>
    </row>
    <row r="681" spans="1:30" s="137" customFormat="1" ht="20.25" customHeight="1">
      <c r="A681" s="294"/>
      <c r="B681" s="297" t="s">
        <v>768</v>
      </c>
      <c r="C681" s="294">
        <v>2</v>
      </c>
      <c r="D681" s="294">
        <v>1</v>
      </c>
      <c r="E681" s="294">
        <v>5</v>
      </c>
      <c r="F681" s="294">
        <v>0.15</v>
      </c>
      <c r="G681" s="294">
        <v>0.23</v>
      </c>
      <c r="H681" s="294">
        <v>2.65</v>
      </c>
      <c r="I681" s="298">
        <f t="shared" si="29"/>
        <v>0.91</v>
      </c>
      <c r="J681" s="322"/>
      <c r="K681" s="136"/>
      <c r="L681" s="136"/>
      <c r="M681" s="136"/>
      <c r="N681" s="138" t="e">
        <f>I681+#REF!+I676+I675+I674+I673</f>
        <v>#REF!</v>
      </c>
      <c r="O681" s="136"/>
      <c r="P681" s="136"/>
      <c r="Q681" s="136"/>
      <c r="R681" s="136"/>
      <c r="S681" s="136"/>
      <c r="T681" s="136"/>
      <c r="U681" s="136"/>
      <c r="V681" s="136"/>
      <c r="W681" s="136"/>
      <c r="X681" s="136"/>
      <c r="Y681" s="136"/>
      <c r="Z681" s="136"/>
      <c r="AA681" s="136"/>
      <c r="AB681" s="136"/>
      <c r="AC681" s="136"/>
      <c r="AD681" s="136"/>
    </row>
    <row r="682" spans="1:30" s="71" customFormat="1" ht="20.25" customHeight="1">
      <c r="A682" s="294"/>
      <c r="B682" s="297" t="s">
        <v>767</v>
      </c>
      <c r="C682" s="294">
        <v>1</v>
      </c>
      <c r="D682" s="294">
        <v>1</v>
      </c>
      <c r="E682" s="294">
        <v>10</v>
      </c>
      <c r="F682" s="294">
        <v>1.38</v>
      </c>
      <c r="G682" s="295">
        <v>0.23</v>
      </c>
      <c r="H682" s="294">
        <v>2.65</v>
      </c>
      <c r="I682" s="298">
        <f t="shared" si="29"/>
        <v>8.41</v>
      </c>
      <c r="J682" s="303"/>
      <c r="K682" s="72"/>
      <c r="L682" s="72"/>
      <c r="M682" s="72"/>
      <c r="N682" s="72"/>
      <c r="O682" s="72"/>
      <c r="P682" s="72"/>
      <c r="Q682" s="72"/>
      <c r="R682" s="72"/>
      <c r="S682" s="72"/>
      <c r="T682" s="72"/>
      <c r="U682" s="72"/>
      <c r="V682" s="72"/>
      <c r="W682" s="72"/>
      <c r="X682" s="72"/>
      <c r="Y682" s="72"/>
      <c r="Z682" s="72"/>
      <c r="AA682" s="72"/>
      <c r="AB682" s="72"/>
      <c r="AC682" s="72"/>
      <c r="AD682" s="72"/>
    </row>
    <row r="683" spans="1:30" s="71" customFormat="1" ht="20.25" customHeight="1">
      <c r="A683" s="294"/>
      <c r="B683" s="297" t="s">
        <v>766</v>
      </c>
      <c r="C683" s="294">
        <v>1</v>
      </c>
      <c r="D683" s="294">
        <v>1</v>
      </c>
      <c r="E683" s="294">
        <v>10</v>
      </c>
      <c r="F683" s="295">
        <v>0.23</v>
      </c>
      <c r="G683" s="295">
        <v>0.23</v>
      </c>
      <c r="H683" s="294">
        <v>2.65</v>
      </c>
      <c r="I683" s="298">
        <f t="shared" si="29"/>
        <v>1.4</v>
      </c>
      <c r="J683" s="303"/>
      <c r="K683" s="72"/>
      <c r="L683" s="72"/>
      <c r="M683" s="72"/>
      <c r="N683" s="72"/>
      <c r="O683" s="72"/>
      <c r="P683" s="72"/>
      <c r="Q683" s="72"/>
      <c r="R683" s="72"/>
      <c r="S683" s="72"/>
      <c r="T683" s="72"/>
      <c r="U683" s="72"/>
      <c r="V683" s="72"/>
      <c r="W683" s="72"/>
      <c r="X683" s="72"/>
      <c r="Y683" s="72"/>
      <c r="Z683" s="72"/>
      <c r="AA683" s="72"/>
      <c r="AB683" s="72"/>
      <c r="AC683" s="72"/>
      <c r="AD683" s="72"/>
    </row>
    <row r="684" spans="1:30" s="71" customFormat="1" ht="20.25" customHeight="1">
      <c r="A684" s="294"/>
      <c r="B684" s="297" t="s">
        <v>762</v>
      </c>
      <c r="C684" s="294">
        <v>-1</v>
      </c>
      <c r="D684" s="294">
        <v>1</v>
      </c>
      <c r="E684" s="294">
        <v>10</v>
      </c>
      <c r="F684" s="295">
        <v>1</v>
      </c>
      <c r="G684" s="295">
        <v>0.23</v>
      </c>
      <c r="H684" s="295">
        <v>2.1</v>
      </c>
      <c r="I684" s="298">
        <f t="shared" si="29"/>
        <v>-4.83</v>
      </c>
      <c r="J684" s="303"/>
      <c r="K684" s="72"/>
      <c r="L684" s="72"/>
      <c r="M684" s="72"/>
      <c r="N684" s="72"/>
      <c r="O684" s="72"/>
      <c r="P684" s="72"/>
      <c r="Q684" s="72"/>
      <c r="R684" s="72"/>
      <c r="S684" s="72"/>
      <c r="T684" s="72"/>
      <c r="U684" s="72"/>
      <c r="V684" s="72"/>
      <c r="W684" s="72"/>
      <c r="X684" s="72"/>
      <c r="Y684" s="72"/>
      <c r="Z684" s="72"/>
      <c r="AA684" s="72"/>
      <c r="AB684" s="72"/>
      <c r="AC684" s="72"/>
      <c r="AD684" s="72"/>
    </row>
    <row r="685" spans="1:30" s="71" customFormat="1" ht="20.25" customHeight="1">
      <c r="A685" s="294"/>
      <c r="B685" s="297" t="s">
        <v>761</v>
      </c>
      <c r="C685" s="294">
        <v>-1</v>
      </c>
      <c r="D685" s="294">
        <v>1</v>
      </c>
      <c r="E685" s="294">
        <v>10</v>
      </c>
      <c r="F685" s="295">
        <v>1</v>
      </c>
      <c r="G685" s="295">
        <v>0.23</v>
      </c>
      <c r="H685" s="295">
        <v>2.1</v>
      </c>
      <c r="I685" s="298">
        <f t="shared" si="29"/>
        <v>-4.83</v>
      </c>
      <c r="J685" s="303"/>
      <c r="K685" s="72"/>
      <c r="L685" s="72"/>
      <c r="M685" s="72"/>
      <c r="N685" s="72"/>
      <c r="O685" s="72"/>
      <c r="P685" s="72"/>
      <c r="Q685" s="72"/>
      <c r="R685" s="72"/>
      <c r="S685" s="72"/>
      <c r="T685" s="72"/>
      <c r="U685" s="72"/>
      <c r="V685" s="72"/>
      <c r="W685" s="72"/>
      <c r="X685" s="72"/>
      <c r="Y685" s="72"/>
      <c r="Z685" s="72"/>
      <c r="AA685" s="72"/>
      <c r="AB685" s="72"/>
      <c r="AC685" s="72"/>
      <c r="AD685" s="72"/>
    </row>
    <row r="686" spans="1:30" s="71" customFormat="1" ht="20.25" customHeight="1">
      <c r="A686" s="294"/>
      <c r="B686" s="297" t="s">
        <v>760</v>
      </c>
      <c r="C686" s="294">
        <v>-1</v>
      </c>
      <c r="D686" s="294">
        <v>1</v>
      </c>
      <c r="E686" s="294">
        <v>10</v>
      </c>
      <c r="F686" s="295">
        <v>1.8</v>
      </c>
      <c r="G686" s="295">
        <v>0.23</v>
      </c>
      <c r="H686" s="294">
        <v>1.35</v>
      </c>
      <c r="I686" s="298">
        <f t="shared" si="29"/>
        <v>-5.59</v>
      </c>
      <c r="J686" s="303"/>
      <c r="K686" s="72"/>
      <c r="L686" s="72"/>
      <c r="M686" s="72"/>
      <c r="N686" s="72"/>
      <c r="O686" s="72"/>
      <c r="P686" s="72"/>
      <c r="Q686" s="72"/>
      <c r="R686" s="72"/>
      <c r="S686" s="72"/>
      <c r="T686" s="72"/>
      <c r="U686" s="72"/>
      <c r="V686" s="72"/>
      <c r="W686" s="72"/>
      <c r="X686" s="72"/>
      <c r="Y686" s="72"/>
      <c r="Z686" s="72"/>
      <c r="AA686" s="72"/>
      <c r="AB686" s="72"/>
      <c r="AC686" s="72"/>
      <c r="AD686" s="72"/>
    </row>
    <row r="687" spans="1:30" s="71" customFormat="1" ht="20.25" customHeight="1">
      <c r="A687" s="294"/>
      <c r="B687" s="297" t="s">
        <v>631</v>
      </c>
      <c r="C687" s="294">
        <v>-1</v>
      </c>
      <c r="D687" s="294">
        <v>1</v>
      </c>
      <c r="E687" s="294">
        <v>10</v>
      </c>
      <c r="F687" s="295">
        <v>1.5</v>
      </c>
      <c r="G687" s="295">
        <v>0.23</v>
      </c>
      <c r="H687" s="294">
        <v>1.35</v>
      </c>
      <c r="I687" s="298">
        <f t="shared" si="29"/>
        <v>-4.66</v>
      </c>
      <c r="J687" s="303"/>
      <c r="K687" s="72"/>
      <c r="L687" s="72"/>
      <c r="M687" s="72"/>
      <c r="N687" s="72"/>
      <c r="O687" s="72"/>
      <c r="P687" s="72"/>
      <c r="Q687" s="72"/>
      <c r="R687" s="72"/>
      <c r="S687" s="72"/>
      <c r="T687" s="72"/>
      <c r="U687" s="72"/>
      <c r="V687" s="72"/>
      <c r="W687" s="72"/>
      <c r="X687" s="72"/>
      <c r="Y687" s="72"/>
      <c r="Z687" s="72"/>
      <c r="AA687" s="72"/>
      <c r="AB687" s="72"/>
      <c r="AC687" s="72"/>
      <c r="AD687" s="72"/>
    </row>
    <row r="688" spans="1:30" s="71" customFormat="1" ht="20.25" customHeight="1">
      <c r="A688" s="294"/>
      <c r="B688" s="297" t="s">
        <v>759</v>
      </c>
      <c r="C688" s="294">
        <v>-1</v>
      </c>
      <c r="D688" s="294">
        <v>1</v>
      </c>
      <c r="E688" s="294">
        <v>10</v>
      </c>
      <c r="F688" s="295">
        <v>1.5</v>
      </c>
      <c r="G688" s="295">
        <v>0.23</v>
      </c>
      <c r="H688" s="295">
        <v>1.8</v>
      </c>
      <c r="I688" s="298">
        <f t="shared" si="29"/>
        <v>-6.21</v>
      </c>
      <c r="J688" s="303"/>
      <c r="K688" s="72"/>
      <c r="L688" s="72"/>
      <c r="M688" s="72"/>
      <c r="N688" s="72"/>
      <c r="O688" s="72"/>
      <c r="P688" s="72"/>
      <c r="Q688" s="72"/>
      <c r="R688" s="72"/>
      <c r="S688" s="72"/>
      <c r="T688" s="72"/>
      <c r="U688" s="72"/>
      <c r="V688" s="72"/>
      <c r="W688" s="72"/>
      <c r="X688" s="72"/>
      <c r="Y688" s="72"/>
      <c r="Z688" s="72"/>
      <c r="AA688" s="72"/>
      <c r="AB688" s="72"/>
      <c r="AC688" s="72"/>
      <c r="AD688" s="72"/>
    </row>
    <row r="689" spans="1:30" s="71" customFormat="1" ht="20.25" customHeight="1">
      <c r="A689" s="294"/>
      <c r="B689" s="297" t="s">
        <v>765</v>
      </c>
      <c r="C689" s="294">
        <v>-1</v>
      </c>
      <c r="D689" s="294">
        <v>1</v>
      </c>
      <c r="E689" s="294">
        <v>10</v>
      </c>
      <c r="F689" s="295">
        <v>0.75</v>
      </c>
      <c r="G689" s="295">
        <v>0.23</v>
      </c>
      <c r="H689" s="295">
        <v>0.75</v>
      </c>
      <c r="I689" s="298">
        <f t="shared" si="29"/>
        <v>-1.29</v>
      </c>
      <c r="J689" s="303"/>
      <c r="K689" s="72"/>
      <c r="L689" s="72"/>
      <c r="M689" s="72"/>
      <c r="N689" s="72"/>
      <c r="O689" s="72"/>
      <c r="P689" s="72"/>
      <c r="Q689" s="72"/>
      <c r="R689" s="72"/>
      <c r="S689" s="72"/>
      <c r="T689" s="72"/>
      <c r="U689" s="72"/>
      <c r="V689" s="72"/>
      <c r="W689" s="72"/>
      <c r="X689" s="72"/>
      <c r="Y689" s="72"/>
      <c r="Z689" s="72"/>
      <c r="AA689" s="72"/>
      <c r="AB689" s="72"/>
      <c r="AC689" s="72"/>
      <c r="AD689" s="72"/>
    </row>
    <row r="690" spans="1:30" s="71" customFormat="1" ht="20.25" customHeight="1">
      <c r="A690" s="294"/>
      <c r="B690" s="297" t="s">
        <v>232</v>
      </c>
      <c r="C690" s="294">
        <v>-1</v>
      </c>
      <c r="D690" s="294">
        <v>1</v>
      </c>
      <c r="E690" s="294">
        <v>2</v>
      </c>
      <c r="F690" s="295">
        <v>1.8</v>
      </c>
      <c r="G690" s="295">
        <v>0.23</v>
      </c>
      <c r="H690" s="295">
        <v>1.35</v>
      </c>
      <c r="I690" s="298">
        <f t="shared" si="29"/>
        <v>-1.1200000000000001</v>
      </c>
      <c r="J690" s="303"/>
      <c r="K690" s="72"/>
      <c r="L690" s="72"/>
      <c r="M690" s="72"/>
      <c r="N690" s="72"/>
      <c r="O690" s="72"/>
      <c r="P690" s="72"/>
      <c r="Q690" s="72"/>
      <c r="R690" s="72"/>
      <c r="S690" s="72"/>
      <c r="T690" s="72"/>
      <c r="U690" s="72"/>
      <c r="V690" s="72"/>
      <c r="W690" s="72"/>
      <c r="X690" s="72"/>
      <c r="Y690" s="72"/>
      <c r="Z690" s="72"/>
      <c r="AA690" s="72"/>
      <c r="AB690" s="72"/>
      <c r="AC690" s="72"/>
      <c r="AD690" s="72"/>
    </row>
    <row r="691" spans="1:30" s="71" customFormat="1" ht="20.25" customHeight="1">
      <c r="A691" s="294"/>
      <c r="B691" s="297" t="s">
        <v>231</v>
      </c>
      <c r="C691" s="294">
        <v>-1</v>
      </c>
      <c r="D691" s="294">
        <v>2</v>
      </c>
      <c r="E691" s="294">
        <v>2</v>
      </c>
      <c r="F691" s="295">
        <v>1.2</v>
      </c>
      <c r="G691" s="295">
        <v>0.23</v>
      </c>
      <c r="H691" s="295">
        <v>1.35</v>
      </c>
      <c r="I691" s="298">
        <f t="shared" si="29"/>
        <v>-1.49</v>
      </c>
      <c r="J691" s="303"/>
      <c r="K691" s="72"/>
      <c r="L691" s="72"/>
      <c r="M691" s="72"/>
      <c r="N691" s="72"/>
      <c r="O691" s="72"/>
      <c r="P691" s="72"/>
      <c r="Q691" s="72"/>
      <c r="R691" s="72"/>
      <c r="S691" s="72"/>
      <c r="T691" s="72"/>
      <c r="U691" s="72"/>
      <c r="V691" s="72"/>
      <c r="W691" s="72"/>
      <c r="X691" s="72"/>
      <c r="Y691" s="72"/>
      <c r="Z691" s="72"/>
      <c r="AA691" s="72"/>
      <c r="AB691" s="72"/>
      <c r="AC691" s="72"/>
      <c r="AD691" s="72"/>
    </row>
    <row r="692" spans="1:30" s="71" customFormat="1" ht="20.25" customHeight="1">
      <c r="A692" s="294"/>
      <c r="B692" s="310" t="s">
        <v>764</v>
      </c>
      <c r="C692" s="294"/>
      <c r="D692" s="294"/>
      <c r="E692" s="294"/>
      <c r="F692" s="346"/>
      <c r="G692" s="295"/>
      <c r="H692" s="294"/>
      <c r="I692" s="298"/>
      <c r="J692" s="303"/>
      <c r="K692" s="72"/>
      <c r="L692" s="72"/>
      <c r="M692" s="72"/>
      <c r="N692" s="72"/>
      <c r="O692" s="72"/>
      <c r="P692" s="72"/>
      <c r="Q692" s="72"/>
      <c r="R692" s="72"/>
      <c r="S692" s="72"/>
      <c r="T692" s="72"/>
      <c r="U692" s="72"/>
      <c r="V692" s="72"/>
      <c r="W692" s="72"/>
      <c r="X692" s="72"/>
      <c r="Y692" s="72"/>
      <c r="Z692" s="72"/>
      <c r="AA692" s="72"/>
      <c r="AB692" s="72"/>
      <c r="AC692" s="72"/>
      <c r="AD692" s="72"/>
    </row>
    <row r="693" spans="1:30" s="71" customFormat="1" ht="20.25" customHeight="1">
      <c r="A693" s="294"/>
      <c r="B693" s="297" t="s">
        <v>760</v>
      </c>
      <c r="C693" s="294">
        <v>-1</v>
      </c>
      <c r="D693" s="294">
        <v>1</v>
      </c>
      <c r="E693" s="294">
        <v>10</v>
      </c>
      <c r="F693" s="295">
        <v>2.2599999999999998</v>
      </c>
      <c r="G693" s="295">
        <v>0.23</v>
      </c>
      <c r="H693" s="294">
        <v>0.05</v>
      </c>
      <c r="I693" s="298">
        <f>PRODUCT(C693:H693)</f>
        <v>-0.26</v>
      </c>
      <c r="J693" s="303"/>
      <c r="K693" s="72"/>
      <c r="L693" s="72"/>
      <c r="M693" s="72"/>
      <c r="N693" s="72">
        <f>1.8+0.46</f>
        <v>2.2599999999999998</v>
      </c>
      <c r="O693" s="72"/>
      <c r="P693" s="72"/>
      <c r="Q693" s="72"/>
      <c r="R693" s="72"/>
      <c r="S693" s="72"/>
      <c r="T693" s="72"/>
      <c r="U693" s="72"/>
      <c r="V693" s="72"/>
      <c r="W693" s="72"/>
      <c r="X693" s="72"/>
      <c r="Y693" s="72"/>
      <c r="Z693" s="72"/>
      <c r="AA693" s="72"/>
      <c r="AB693" s="72"/>
      <c r="AC693" s="72"/>
      <c r="AD693" s="72"/>
    </row>
    <row r="694" spans="1:30" s="71" customFormat="1" ht="20.25" customHeight="1">
      <c r="A694" s="294"/>
      <c r="B694" s="297" t="s">
        <v>631</v>
      </c>
      <c r="C694" s="294">
        <v>-1</v>
      </c>
      <c r="D694" s="294">
        <v>1</v>
      </c>
      <c r="E694" s="294">
        <v>10</v>
      </c>
      <c r="F694" s="295">
        <v>1.96</v>
      </c>
      <c r="G694" s="295">
        <v>0.23</v>
      </c>
      <c r="H694" s="294">
        <v>0.05</v>
      </c>
      <c r="I694" s="298">
        <f>PRODUCT(C694:H694)</f>
        <v>-0.23</v>
      </c>
      <c r="J694" s="303"/>
      <c r="K694" s="72"/>
      <c r="L694" s="72"/>
      <c r="M694" s="72"/>
      <c r="N694" s="72">
        <f>1.5+0.46</f>
        <v>1.96</v>
      </c>
      <c r="O694" s="72"/>
      <c r="P694" s="72"/>
      <c r="Q694" s="72"/>
      <c r="R694" s="72"/>
      <c r="S694" s="72"/>
      <c r="T694" s="72"/>
      <c r="U694" s="72"/>
      <c r="V694" s="72"/>
      <c r="W694" s="72"/>
      <c r="X694" s="72"/>
      <c r="Y694" s="72"/>
      <c r="Z694" s="72"/>
      <c r="AA694" s="72"/>
      <c r="AB694" s="72"/>
      <c r="AC694" s="72"/>
      <c r="AD694" s="72"/>
    </row>
    <row r="695" spans="1:30" s="71" customFormat="1" ht="20.25" customHeight="1">
      <c r="A695" s="294"/>
      <c r="B695" s="297" t="s">
        <v>759</v>
      </c>
      <c r="C695" s="294">
        <v>-1</v>
      </c>
      <c r="D695" s="294">
        <v>1</v>
      </c>
      <c r="E695" s="294">
        <v>10</v>
      </c>
      <c r="F695" s="295">
        <v>1.96</v>
      </c>
      <c r="G695" s="295">
        <v>0.23</v>
      </c>
      <c r="H695" s="294">
        <v>0.05</v>
      </c>
      <c r="I695" s="298">
        <f>PRODUCT(C695:H695)</f>
        <v>-0.23</v>
      </c>
      <c r="J695" s="303"/>
      <c r="K695" s="72"/>
      <c r="L695" s="72"/>
      <c r="M695" s="72"/>
      <c r="N695" s="72">
        <f>1.5+0.46</f>
        <v>1.96</v>
      </c>
      <c r="O695" s="72"/>
      <c r="P695" s="72"/>
      <c r="Q695" s="72"/>
      <c r="R695" s="72"/>
      <c r="S695" s="72"/>
      <c r="T695" s="72"/>
      <c r="U695" s="72"/>
      <c r="V695" s="72"/>
      <c r="W695" s="72"/>
      <c r="X695" s="72"/>
      <c r="Y695" s="72"/>
      <c r="Z695" s="72"/>
      <c r="AA695" s="72"/>
      <c r="AB695" s="72"/>
      <c r="AC695" s="72"/>
      <c r="AD695" s="72"/>
    </row>
    <row r="696" spans="1:30" s="71" customFormat="1" ht="20.25" customHeight="1">
      <c r="A696" s="294"/>
      <c r="B696" s="297" t="s">
        <v>232</v>
      </c>
      <c r="C696" s="294">
        <v>-1</v>
      </c>
      <c r="D696" s="294">
        <v>1</v>
      </c>
      <c r="E696" s="294">
        <v>3</v>
      </c>
      <c r="F696" s="295">
        <v>2.2599999999999998</v>
      </c>
      <c r="G696" s="295">
        <v>0.23</v>
      </c>
      <c r="H696" s="294">
        <v>0.05</v>
      </c>
      <c r="I696" s="298">
        <f>PRODUCT(C696:H696)</f>
        <v>-0.08</v>
      </c>
      <c r="J696" s="303"/>
      <c r="K696" s="72"/>
      <c r="L696" s="72"/>
      <c r="M696" s="72"/>
      <c r="N696" s="72">
        <f>1.8+0.46</f>
        <v>2.2599999999999998</v>
      </c>
      <c r="O696" s="72"/>
      <c r="P696" s="72"/>
      <c r="Q696" s="72"/>
      <c r="R696" s="72"/>
      <c r="S696" s="72"/>
      <c r="T696" s="72"/>
      <c r="U696" s="72"/>
      <c r="V696" s="72"/>
      <c r="W696" s="72"/>
      <c r="X696" s="72"/>
      <c r="Y696" s="72"/>
      <c r="Z696" s="72"/>
      <c r="AA696" s="72"/>
      <c r="AB696" s="72"/>
      <c r="AC696" s="72"/>
      <c r="AD696" s="72"/>
    </row>
    <row r="697" spans="1:30" s="71" customFormat="1" ht="20.25" customHeight="1">
      <c r="A697" s="294"/>
      <c r="B697" s="297" t="s">
        <v>231</v>
      </c>
      <c r="C697" s="294">
        <v>-1</v>
      </c>
      <c r="D697" s="294">
        <v>2</v>
      </c>
      <c r="E697" s="294">
        <v>3</v>
      </c>
      <c r="F697" s="295">
        <v>1.66</v>
      </c>
      <c r="G697" s="295">
        <v>0.23</v>
      </c>
      <c r="H697" s="294">
        <v>0.05</v>
      </c>
      <c r="I697" s="298">
        <f>PRODUCT(C697:H697)</f>
        <v>-0.11</v>
      </c>
      <c r="J697" s="303"/>
      <c r="K697" s="72"/>
      <c r="L697" s="72"/>
      <c r="M697" s="72"/>
      <c r="N697" s="72">
        <f>1.2+0.46</f>
        <v>1.66</v>
      </c>
      <c r="O697" s="72"/>
      <c r="P697" s="72"/>
      <c r="Q697" s="72"/>
      <c r="R697" s="72"/>
      <c r="S697" s="72"/>
      <c r="T697" s="72"/>
      <c r="U697" s="72"/>
      <c r="V697" s="72"/>
      <c r="W697" s="72"/>
      <c r="X697" s="72"/>
      <c r="Y697" s="72"/>
      <c r="Z697" s="72"/>
      <c r="AA697" s="72"/>
      <c r="AB697" s="72"/>
      <c r="AC697" s="72"/>
      <c r="AD697" s="72"/>
    </row>
    <row r="698" spans="1:30" s="71" customFormat="1" ht="20.25" customHeight="1">
      <c r="A698" s="294"/>
      <c r="B698" s="310" t="s">
        <v>763</v>
      </c>
      <c r="C698" s="294"/>
      <c r="D698" s="294"/>
      <c r="E698" s="294"/>
      <c r="F698" s="346"/>
      <c r="G698" s="294"/>
      <c r="H698" s="294"/>
      <c r="I698" s="298"/>
      <c r="J698" s="303"/>
      <c r="K698" s="72"/>
      <c r="L698" s="72"/>
      <c r="M698" s="72"/>
      <c r="N698" s="72"/>
      <c r="O698" s="72"/>
      <c r="P698" s="72"/>
      <c r="Q698" s="72"/>
      <c r="R698" s="72"/>
      <c r="S698" s="72"/>
      <c r="T698" s="72"/>
      <c r="U698" s="72"/>
      <c r="V698" s="72"/>
      <c r="W698" s="72"/>
      <c r="X698" s="72"/>
      <c r="Y698" s="72"/>
      <c r="Z698" s="72"/>
      <c r="AA698" s="72"/>
      <c r="AB698" s="72"/>
      <c r="AC698" s="72"/>
      <c r="AD698" s="72"/>
    </row>
    <row r="699" spans="1:30" s="71" customFormat="1" ht="20.25" customHeight="1">
      <c r="A699" s="294"/>
      <c r="B699" s="297" t="s">
        <v>762</v>
      </c>
      <c r="C699" s="294">
        <v>-1</v>
      </c>
      <c r="D699" s="294">
        <v>1</v>
      </c>
      <c r="E699" s="294">
        <v>10</v>
      </c>
      <c r="F699" s="295">
        <v>1.46</v>
      </c>
      <c r="G699" s="295">
        <v>0.23</v>
      </c>
      <c r="H699" s="295">
        <v>0.15</v>
      </c>
      <c r="I699" s="298">
        <f t="shared" ref="I699:I705" si="30">PRODUCT(C699:H699)</f>
        <v>-0.5</v>
      </c>
      <c r="J699" s="303"/>
      <c r="K699" s="72"/>
      <c r="L699" s="72"/>
      <c r="M699" s="72"/>
      <c r="N699" s="72"/>
      <c r="O699" s="72"/>
      <c r="P699" s="72"/>
      <c r="Q699" s="72"/>
      <c r="R699" s="72"/>
      <c r="S699" s="72"/>
      <c r="T699" s="72"/>
      <c r="U699" s="72"/>
      <c r="V699" s="72"/>
      <c r="W699" s="72"/>
      <c r="X699" s="72"/>
      <c r="Y699" s="72"/>
      <c r="Z699" s="72"/>
      <c r="AA699" s="72"/>
      <c r="AB699" s="72"/>
      <c r="AC699" s="72"/>
      <c r="AD699" s="72"/>
    </row>
    <row r="700" spans="1:30" s="71" customFormat="1" ht="20.25" customHeight="1">
      <c r="A700" s="294"/>
      <c r="B700" s="297" t="s">
        <v>761</v>
      </c>
      <c r="C700" s="294">
        <v>-1</v>
      </c>
      <c r="D700" s="294">
        <v>1</v>
      </c>
      <c r="E700" s="294">
        <v>10</v>
      </c>
      <c r="F700" s="295">
        <v>1.46</v>
      </c>
      <c r="G700" s="295">
        <v>0.23</v>
      </c>
      <c r="H700" s="295">
        <v>0.15</v>
      </c>
      <c r="I700" s="298">
        <f t="shared" si="30"/>
        <v>-0.5</v>
      </c>
      <c r="J700" s="303"/>
      <c r="K700" s="72"/>
      <c r="L700" s="72"/>
      <c r="M700" s="72"/>
      <c r="N700" s="72"/>
      <c r="O700" s="72"/>
      <c r="P700" s="72"/>
      <c r="Q700" s="72"/>
      <c r="R700" s="72"/>
      <c r="S700" s="72"/>
      <c r="T700" s="72"/>
      <c r="U700" s="72"/>
      <c r="V700" s="72"/>
      <c r="W700" s="72"/>
      <c r="X700" s="72"/>
      <c r="Y700" s="72"/>
      <c r="Z700" s="72"/>
      <c r="AA700" s="72"/>
      <c r="AB700" s="72"/>
      <c r="AC700" s="72"/>
      <c r="AD700" s="72"/>
    </row>
    <row r="701" spans="1:30" s="71" customFormat="1" ht="20.25" customHeight="1">
      <c r="A701" s="294"/>
      <c r="B701" s="297" t="s">
        <v>760</v>
      </c>
      <c r="C701" s="294">
        <v>-1</v>
      </c>
      <c r="D701" s="294">
        <v>2</v>
      </c>
      <c r="E701" s="294">
        <v>10</v>
      </c>
      <c r="F701" s="295">
        <v>2.2599999999999998</v>
      </c>
      <c r="G701" s="295">
        <v>0.23</v>
      </c>
      <c r="H701" s="294">
        <v>0.15</v>
      </c>
      <c r="I701" s="298">
        <f t="shared" si="30"/>
        <v>-1.56</v>
      </c>
      <c r="J701" s="303"/>
      <c r="K701" s="72"/>
      <c r="L701" s="72"/>
      <c r="M701" s="72"/>
      <c r="N701" s="72"/>
      <c r="O701" s="72"/>
      <c r="P701" s="72"/>
      <c r="Q701" s="72"/>
      <c r="R701" s="72"/>
      <c r="S701" s="72"/>
      <c r="T701" s="72"/>
      <c r="U701" s="72"/>
      <c r="V701" s="72"/>
      <c r="W701" s="72"/>
      <c r="X701" s="72"/>
      <c r="Y701" s="72"/>
      <c r="Z701" s="72"/>
      <c r="AA701" s="72"/>
      <c r="AB701" s="72"/>
      <c r="AC701" s="72"/>
      <c r="AD701" s="72"/>
    </row>
    <row r="702" spans="1:30" s="71" customFormat="1" ht="20.25" customHeight="1">
      <c r="A702" s="294"/>
      <c r="B702" s="297" t="s">
        <v>631</v>
      </c>
      <c r="C702" s="294">
        <v>-1</v>
      </c>
      <c r="D702" s="294">
        <v>1</v>
      </c>
      <c r="E702" s="294">
        <v>10</v>
      </c>
      <c r="F702" s="295">
        <v>1.96</v>
      </c>
      <c r="G702" s="295">
        <v>0.23</v>
      </c>
      <c r="H702" s="294">
        <v>0.15</v>
      </c>
      <c r="I702" s="298">
        <f t="shared" si="30"/>
        <v>-0.68</v>
      </c>
      <c r="J702" s="303"/>
      <c r="K702" s="72"/>
      <c r="L702" s="72"/>
      <c r="M702" s="72"/>
      <c r="N702" s="72"/>
      <c r="O702" s="72"/>
      <c r="P702" s="72"/>
      <c r="Q702" s="72"/>
      <c r="R702" s="72"/>
      <c r="S702" s="72"/>
      <c r="T702" s="72"/>
      <c r="U702" s="72"/>
      <c r="V702" s="72"/>
      <c r="W702" s="72"/>
      <c r="X702" s="72"/>
      <c r="Y702" s="72"/>
      <c r="Z702" s="72"/>
      <c r="AA702" s="72"/>
      <c r="AB702" s="72"/>
      <c r="AC702" s="72"/>
      <c r="AD702" s="72"/>
    </row>
    <row r="703" spans="1:30" s="71" customFormat="1" ht="20.25" customHeight="1">
      <c r="A703" s="294"/>
      <c r="B703" s="297" t="s">
        <v>759</v>
      </c>
      <c r="C703" s="294">
        <v>-1</v>
      </c>
      <c r="D703" s="294">
        <v>1</v>
      </c>
      <c r="E703" s="294">
        <v>10</v>
      </c>
      <c r="F703" s="295">
        <v>1.96</v>
      </c>
      <c r="G703" s="295">
        <v>0.23</v>
      </c>
      <c r="H703" s="294">
        <v>0.15</v>
      </c>
      <c r="I703" s="298">
        <f t="shared" si="30"/>
        <v>-0.68</v>
      </c>
      <c r="J703" s="303"/>
      <c r="K703" s="72"/>
      <c r="L703" s="72"/>
      <c r="M703" s="72"/>
      <c r="N703" s="72"/>
      <c r="O703" s="72"/>
      <c r="P703" s="72"/>
      <c r="Q703" s="72"/>
      <c r="R703" s="72"/>
      <c r="S703" s="72"/>
      <c r="T703" s="72"/>
      <c r="U703" s="72"/>
      <c r="V703" s="72"/>
      <c r="W703" s="72"/>
      <c r="X703" s="72"/>
      <c r="Y703" s="72"/>
      <c r="Z703" s="72"/>
      <c r="AA703" s="72"/>
      <c r="AB703" s="72"/>
      <c r="AC703" s="72"/>
      <c r="AD703" s="72"/>
    </row>
    <row r="704" spans="1:30" s="71" customFormat="1" ht="20.25" customHeight="1">
      <c r="A704" s="294"/>
      <c r="B704" s="297" t="s">
        <v>232</v>
      </c>
      <c r="C704" s="294">
        <v>-1</v>
      </c>
      <c r="D704" s="294">
        <v>1</v>
      </c>
      <c r="E704" s="294">
        <v>2</v>
      </c>
      <c r="F704" s="295">
        <v>2.2599999999999998</v>
      </c>
      <c r="G704" s="295">
        <v>0.23</v>
      </c>
      <c r="H704" s="294">
        <v>0.15</v>
      </c>
      <c r="I704" s="298">
        <f t="shared" si="30"/>
        <v>-0.16</v>
      </c>
      <c r="J704" s="303"/>
      <c r="K704" s="72"/>
      <c r="L704" s="72"/>
      <c r="M704" s="72"/>
      <c r="N704" s="72"/>
      <c r="O704" s="72"/>
      <c r="P704" s="72"/>
      <c r="Q704" s="72"/>
      <c r="R704" s="72"/>
      <c r="S704" s="72"/>
      <c r="T704" s="72"/>
      <c r="U704" s="72"/>
      <c r="V704" s="72"/>
      <c r="W704" s="72"/>
      <c r="X704" s="72"/>
      <c r="Y704" s="72"/>
      <c r="Z704" s="72"/>
      <c r="AA704" s="72"/>
      <c r="AB704" s="72"/>
      <c r="AC704" s="72"/>
      <c r="AD704" s="72"/>
    </row>
    <row r="705" spans="1:30" s="71" customFormat="1" ht="20.25" customHeight="1">
      <c r="A705" s="294"/>
      <c r="B705" s="297" t="s">
        <v>231</v>
      </c>
      <c r="C705" s="294">
        <v>-1</v>
      </c>
      <c r="D705" s="294">
        <v>2</v>
      </c>
      <c r="E705" s="294">
        <v>2</v>
      </c>
      <c r="F705" s="295">
        <v>1.66</v>
      </c>
      <c r="G705" s="295">
        <v>0.23</v>
      </c>
      <c r="H705" s="294">
        <v>0.15</v>
      </c>
      <c r="I705" s="298">
        <f t="shared" si="30"/>
        <v>-0.23</v>
      </c>
      <c r="J705" s="303"/>
      <c r="K705" s="72"/>
      <c r="L705" s="72"/>
      <c r="M705" s="72"/>
      <c r="N705" s="72"/>
      <c r="O705" s="72"/>
      <c r="P705" s="72"/>
      <c r="Q705" s="72"/>
      <c r="R705" s="72"/>
      <c r="S705" s="72"/>
      <c r="T705" s="72"/>
      <c r="U705" s="72"/>
      <c r="V705" s="72"/>
      <c r="W705" s="72"/>
      <c r="X705" s="72"/>
      <c r="Y705" s="72"/>
      <c r="Z705" s="72"/>
      <c r="AA705" s="72"/>
      <c r="AB705" s="72"/>
      <c r="AC705" s="72"/>
      <c r="AD705" s="72"/>
    </row>
    <row r="706" spans="1:30" s="71" customFormat="1" ht="20.25" customHeight="1">
      <c r="A706" s="294"/>
      <c r="B706" s="319" t="s">
        <v>758</v>
      </c>
      <c r="C706" s="321"/>
      <c r="D706" s="294"/>
      <c r="E706" s="321"/>
      <c r="F706" s="321"/>
      <c r="G706" s="294"/>
      <c r="H706" s="295"/>
      <c r="I706" s="298"/>
      <c r="J706" s="303"/>
      <c r="K706" s="72"/>
      <c r="L706" s="72"/>
      <c r="M706" s="72"/>
      <c r="N706" s="72"/>
      <c r="O706" s="72"/>
      <c r="P706" s="72"/>
      <c r="Q706" s="72"/>
      <c r="R706" s="72"/>
      <c r="S706" s="72"/>
      <c r="T706" s="72"/>
      <c r="U706" s="72"/>
      <c r="V706" s="72"/>
      <c r="W706" s="72"/>
      <c r="X706" s="72"/>
      <c r="Y706" s="72"/>
      <c r="Z706" s="72"/>
      <c r="AA706" s="72"/>
      <c r="AB706" s="72"/>
      <c r="AC706" s="72"/>
      <c r="AD706" s="72"/>
    </row>
    <row r="707" spans="1:30" s="71" customFormat="1" ht="20.25" customHeight="1">
      <c r="A707" s="294"/>
      <c r="B707" s="293" t="s">
        <v>757</v>
      </c>
      <c r="C707" s="307">
        <v>10</v>
      </c>
      <c r="D707" s="294">
        <v>1</v>
      </c>
      <c r="E707" s="307">
        <v>1</v>
      </c>
      <c r="F707" s="307">
        <v>2.0150000000000001</v>
      </c>
      <c r="G707" s="295">
        <v>0.3</v>
      </c>
      <c r="H707" s="295">
        <v>0.15</v>
      </c>
      <c r="I707" s="298">
        <f t="shared" ref="I707:I712" si="31">PRODUCT(C707:H707)</f>
        <v>0.91</v>
      </c>
      <c r="J707" s="303"/>
      <c r="K707" s="72"/>
      <c r="L707" s="72"/>
      <c r="M707" s="72"/>
      <c r="N707" s="72"/>
      <c r="O707" s="72"/>
      <c r="P707" s="72"/>
      <c r="Q707" s="72"/>
      <c r="R707" s="72"/>
      <c r="S707" s="72"/>
      <c r="T707" s="72"/>
      <c r="U707" s="72"/>
      <c r="V707" s="72"/>
      <c r="W707" s="72"/>
      <c r="X707" s="72"/>
      <c r="Y707" s="72"/>
      <c r="Z707" s="72"/>
      <c r="AA707" s="72"/>
      <c r="AB707" s="72"/>
      <c r="AC707" s="72"/>
      <c r="AD707" s="72"/>
    </row>
    <row r="708" spans="1:30" s="71" customFormat="1" ht="20.25" customHeight="1">
      <c r="A708" s="294"/>
      <c r="B708" s="297" t="s">
        <v>756</v>
      </c>
      <c r="C708" s="307">
        <v>10</v>
      </c>
      <c r="D708" s="294">
        <v>1</v>
      </c>
      <c r="E708" s="294">
        <v>1</v>
      </c>
      <c r="F708" s="300">
        <v>1.2</v>
      </c>
      <c r="G708" s="295">
        <v>0.6</v>
      </c>
      <c r="H708" s="295">
        <v>0.15</v>
      </c>
      <c r="I708" s="298">
        <f t="shared" si="31"/>
        <v>1.08</v>
      </c>
      <c r="J708" s="303"/>
      <c r="K708" s="72"/>
      <c r="L708" s="72"/>
      <c r="M708" s="72"/>
      <c r="N708" s="72"/>
      <c r="O708" s="72"/>
      <c r="P708" s="72"/>
      <c r="Q708" s="72"/>
      <c r="R708" s="72"/>
      <c r="S708" s="72"/>
      <c r="T708" s="72"/>
      <c r="U708" s="72"/>
      <c r="V708" s="72"/>
      <c r="W708" s="72"/>
      <c r="X708" s="72"/>
      <c r="Y708" s="72"/>
      <c r="Z708" s="72"/>
      <c r="AA708" s="72"/>
      <c r="AB708" s="72"/>
      <c r="AC708" s="72"/>
      <c r="AD708" s="72"/>
    </row>
    <row r="709" spans="1:30" s="71" customFormat="1" ht="20.25" customHeight="1">
      <c r="A709" s="294"/>
      <c r="B709" s="297" t="s">
        <v>755</v>
      </c>
      <c r="C709" s="307">
        <v>10</v>
      </c>
      <c r="D709" s="294">
        <v>1</v>
      </c>
      <c r="E709" s="294">
        <v>1</v>
      </c>
      <c r="F709" s="295">
        <v>0.84</v>
      </c>
      <c r="G709" s="295">
        <v>0.45</v>
      </c>
      <c r="H709" s="295">
        <v>0.15</v>
      </c>
      <c r="I709" s="298">
        <f t="shared" si="31"/>
        <v>0.56999999999999995</v>
      </c>
      <c r="J709" s="303"/>
      <c r="K709" s="72"/>
      <c r="L709" s="72"/>
      <c r="M709" s="72"/>
      <c r="N709" s="72"/>
      <c r="O709" s="72"/>
      <c r="P709" s="72"/>
      <c r="Q709" s="72"/>
      <c r="R709" s="72"/>
      <c r="S709" s="72"/>
      <c r="T709" s="72"/>
      <c r="U709" s="72"/>
      <c r="V709" s="72"/>
      <c r="W709" s="72"/>
      <c r="X709" s="72"/>
      <c r="Y709" s="72"/>
      <c r="Z709" s="72"/>
      <c r="AA709" s="72"/>
      <c r="AB709" s="72"/>
      <c r="AC709" s="72"/>
      <c r="AD709" s="72"/>
    </row>
    <row r="710" spans="1:30" s="71" customFormat="1" ht="20.25" customHeight="1">
      <c r="A710" s="294"/>
      <c r="B710" s="297" t="s">
        <v>754</v>
      </c>
      <c r="C710" s="307">
        <v>10</v>
      </c>
      <c r="D710" s="294">
        <v>1</v>
      </c>
      <c r="E710" s="294">
        <v>1</v>
      </c>
      <c r="F710" s="295">
        <v>1.2</v>
      </c>
      <c r="G710" s="295">
        <v>0.6</v>
      </c>
      <c r="H710" s="295">
        <v>0.15</v>
      </c>
      <c r="I710" s="298">
        <f t="shared" si="31"/>
        <v>1.08</v>
      </c>
      <c r="J710" s="303"/>
      <c r="K710" s="72"/>
      <c r="L710" s="72"/>
      <c r="M710" s="72"/>
      <c r="N710" s="72"/>
      <c r="O710" s="72"/>
      <c r="P710" s="72"/>
      <c r="Q710" s="72"/>
      <c r="R710" s="72"/>
      <c r="S710" s="72"/>
      <c r="T710" s="72"/>
      <c r="U710" s="72"/>
      <c r="V710" s="72"/>
      <c r="W710" s="72"/>
      <c r="X710" s="72"/>
      <c r="Y710" s="72"/>
      <c r="Z710" s="72"/>
      <c r="AA710" s="72"/>
      <c r="AB710" s="72"/>
      <c r="AC710" s="72"/>
      <c r="AD710" s="72"/>
    </row>
    <row r="711" spans="1:30" s="71" customFormat="1" ht="20.25" customHeight="1">
      <c r="A711" s="294"/>
      <c r="B711" s="297" t="s">
        <v>753</v>
      </c>
      <c r="C711" s="307">
        <v>10</v>
      </c>
      <c r="D711" s="294">
        <v>1</v>
      </c>
      <c r="E711" s="294">
        <v>1</v>
      </c>
      <c r="F711" s="294">
        <v>0.72499999999999998</v>
      </c>
      <c r="G711" s="294">
        <v>0.45</v>
      </c>
      <c r="H711" s="295">
        <v>0.15</v>
      </c>
      <c r="I711" s="298">
        <f t="shared" si="31"/>
        <v>0.49</v>
      </c>
      <c r="J711" s="303"/>
      <c r="K711" s="72"/>
      <c r="L711" s="72"/>
      <c r="M711" s="72"/>
      <c r="N711" s="72"/>
      <c r="O711" s="72"/>
      <c r="P711" s="72"/>
      <c r="Q711" s="72"/>
      <c r="R711" s="72"/>
      <c r="S711" s="72"/>
      <c r="T711" s="72"/>
      <c r="U711" s="72"/>
      <c r="V711" s="72"/>
      <c r="W711" s="72"/>
      <c r="X711" s="72"/>
      <c r="Y711" s="72"/>
      <c r="Z711" s="72"/>
      <c r="AA711" s="72"/>
      <c r="AB711" s="72"/>
      <c r="AC711" s="72"/>
      <c r="AD711" s="72"/>
    </row>
    <row r="712" spans="1:30" s="71" customFormat="1" ht="20.25" customHeight="1">
      <c r="A712" s="294"/>
      <c r="B712" s="297" t="s">
        <v>704</v>
      </c>
      <c r="C712" s="307">
        <v>10</v>
      </c>
      <c r="D712" s="294">
        <v>1</v>
      </c>
      <c r="E712" s="294">
        <v>1</v>
      </c>
      <c r="F712" s="294">
        <v>5.2</v>
      </c>
      <c r="G712" s="294">
        <v>0.45</v>
      </c>
      <c r="H712" s="295">
        <v>0.15</v>
      </c>
      <c r="I712" s="298">
        <f t="shared" si="31"/>
        <v>3.51</v>
      </c>
      <c r="J712" s="303"/>
      <c r="K712" s="72"/>
      <c r="L712" s="72"/>
      <c r="M712" s="72"/>
      <c r="N712" s="72">
        <f>2.8+2.4</f>
        <v>5.2</v>
      </c>
      <c r="O712" s="72"/>
      <c r="P712" s="72"/>
      <c r="Q712" s="72"/>
      <c r="R712" s="72"/>
      <c r="S712" s="72"/>
      <c r="T712" s="72"/>
      <c r="U712" s="72"/>
      <c r="V712" s="72"/>
      <c r="W712" s="72"/>
      <c r="X712" s="72"/>
      <c r="Y712" s="72"/>
      <c r="Z712" s="72"/>
      <c r="AA712" s="72"/>
      <c r="AB712" s="72"/>
      <c r="AC712" s="72"/>
      <c r="AD712" s="72"/>
    </row>
    <row r="713" spans="1:30" s="140" customFormat="1" ht="20.25" customHeight="1">
      <c r="A713" s="467"/>
      <c r="B713" s="319" t="s">
        <v>752</v>
      </c>
      <c r="C713" s="468"/>
      <c r="D713" s="467"/>
      <c r="E713" s="468"/>
      <c r="F713" s="467"/>
      <c r="G713" s="467"/>
      <c r="H713" s="469"/>
      <c r="I713" s="298"/>
      <c r="J713" s="470"/>
      <c r="K713" s="141"/>
      <c r="L713" s="141"/>
      <c r="M713" s="141"/>
      <c r="N713" s="141"/>
      <c r="O713" s="141"/>
      <c r="P713" s="141"/>
      <c r="Q713" s="141"/>
      <c r="R713" s="141"/>
      <c r="S713" s="141"/>
      <c r="T713" s="141"/>
      <c r="U713" s="141"/>
      <c r="V713" s="141"/>
      <c r="W713" s="141"/>
      <c r="X713" s="141"/>
      <c r="Y713" s="141"/>
      <c r="Z713" s="141"/>
      <c r="AA713" s="141"/>
      <c r="AB713" s="141"/>
      <c r="AC713" s="141"/>
      <c r="AD713" s="141"/>
    </row>
    <row r="714" spans="1:30" s="71" customFormat="1" ht="20.25" customHeight="1">
      <c r="A714" s="294"/>
      <c r="B714" s="293" t="s">
        <v>751</v>
      </c>
      <c r="C714" s="307">
        <v>1</v>
      </c>
      <c r="D714" s="294">
        <v>1</v>
      </c>
      <c r="E714" s="307">
        <v>12</v>
      </c>
      <c r="F714" s="295">
        <v>1.9</v>
      </c>
      <c r="G714" s="294">
        <v>0.23</v>
      </c>
      <c r="H714" s="295">
        <v>1.5</v>
      </c>
      <c r="I714" s="298">
        <f t="shared" ref="I714:I720" si="32">PRODUCT(C714:H714)</f>
        <v>7.87</v>
      </c>
      <c r="J714" s="303"/>
      <c r="K714" s="72"/>
      <c r="L714" s="72"/>
      <c r="M714" s="72"/>
      <c r="N714" s="72"/>
      <c r="O714" s="72"/>
      <c r="P714" s="72"/>
      <c r="Q714" s="72"/>
      <c r="R714" s="72"/>
      <c r="S714" s="72"/>
      <c r="T714" s="72"/>
      <c r="U714" s="72"/>
      <c r="V714" s="72"/>
      <c r="W714" s="72"/>
      <c r="X714" s="72"/>
      <c r="Y714" s="72"/>
      <c r="Z714" s="72"/>
      <c r="AA714" s="72"/>
      <c r="AB714" s="72"/>
      <c r="AC714" s="72"/>
      <c r="AD714" s="72"/>
    </row>
    <row r="715" spans="1:30" s="71" customFormat="1" ht="20.25" customHeight="1">
      <c r="A715" s="294"/>
      <c r="B715" s="293" t="s">
        <v>750</v>
      </c>
      <c r="C715" s="307">
        <v>1</v>
      </c>
      <c r="D715" s="294">
        <v>1</v>
      </c>
      <c r="E715" s="307">
        <v>2</v>
      </c>
      <c r="F715" s="294">
        <v>1.4950000000000001</v>
      </c>
      <c r="G715" s="294">
        <v>0.23</v>
      </c>
      <c r="H715" s="295">
        <v>2.4500000000000002</v>
      </c>
      <c r="I715" s="298">
        <f t="shared" si="32"/>
        <v>1.68</v>
      </c>
      <c r="J715" s="303"/>
      <c r="K715" s="72"/>
      <c r="L715" s="72"/>
      <c r="M715" s="72"/>
      <c r="N715" s="72"/>
      <c r="O715" s="72"/>
      <c r="P715" s="72"/>
      <c r="Q715" s="72"/>
      <c r="R715" s="72"/>
      <c r="S715" s="72"/>
      <c r="T715" s="72"/>
      <c r="U715" s="72"/>
      <c r="V715" s="72"/>
      <c r="W715" s="72"/>
      <c r="X715" s="72"/>
      <c r="Y715" s="72"/>
      <c r="Z715" s="72"/>
      <c r="AA715" s="72"/>
      <c r="AB715" s="72"/>
      <c r="AC715" s="72"/>
      <c r="AD715" s="72"/>
    </row>
    <row r="716" spans="1:30" s="71" customFormat="1" ht="20.25" customHeight="1">
      <c r="A716" s="294"/>
      <c r="B716" s="293" t="s">
        <v>749</v>
      </c>
      <c r="C716" s="307">
        <v>1</v>
      </c>
      <c r="D716" s="294">
        <v>1</v>
      </c>
      <c r="E716" s="307">
        <v>1</v>
      </c>
      <c r="F716" s="294">
        <v>1.165</v>
      </c>
      <c r="G716" s="294">
        <v>0.23</v>
      </c>
      <c r="H716" s="295">
        <v>2.4500000000000002</v>
      </c>
      <c r="I716" s="298">
        <f t="shared" si="32"/>
        <v>0.66</v>
      </c>
      <c r="J716" s="303"/>
      <c r="K716" s="72"/>
      <c r="L716" s="72"/>
      <c r="M716" s="72"/>
      <c r="N716" s="72"/>
      <c r="O716" s="72"/>
      <c r="P716" s="72"/>
      <c r="Q716" s="72"/>
      <c r="R716" s="72"/>
      <c r="S716" s="72"/>
      <c r="T716" s="72"/>
      <c r="U716" s="72"/>
      <c r="V716" s="72"/>
      <c r="W716" s="72"/>
      <c r="X716" s="72"/>
      <c r="Y716" s="72"/>
      <c r="Z716" s="72"/>
      <c r="AA716" s="72"/>
      <c r="AB716" s="72"/>
      <c r="AC716" s="72"/>
      <c r="AD716" s="72"/>
    </row>
    <row r="717" spans="1:30" s="71" customFormat="1" ht="20.25" customHeight="1">
      <c r="A717" s="294"/>
      <c r="B717" s="293" t="s">
        <v>749</v>
      </c>
      <c r="C717" s="307">
        <v>1</v>
      </c>
      <c r="D717" s="294">
        <v>1</v>
      </c>
      <c r="E717" s="307">
        <v>1</v>
      </c>
      <c r="F717" s="294">
        <v>1.3149999999999999</v>
      </c>
      <c r="G717" s="294">
        <v>0.23</v>
      </c>
      <c r="H717" s="295">
        <v>2.4500000000000002</v>
      </c>
      <c r="I717" s="298">
        <f t="shared" si="32"/>
        <v>0.74</v>
      </c>
      <c r="J717" s="303"/>
      <c r="K717" s="72"/>
      <c r="L717" s="72"/>
      <c r="M717" s="72"/>
      <c r="N717" s="72"/>
      <c r="O717" s="72"/>
      <c r="P717" s="72"/>
      <c r="Q717" s="72"/>
      <c r="R717" s="72"/>
      <c r="S717" s="72"/>
      <c r="T717" s="72"/>
      <c r="U717" s="72"/>
      <c r="V717" s="72"/>
      <c r="W717" s="72"/>
      <c r="X717" s="72"/>
      <c r="Y717" s="72"/>
      <c r="Z717" s="72"/>
      <c r="AA717" s="72"/>
      <c r="AB717" s="72"/>
      <c r="AC717" s="72"/>
      <c r="AD717" s="72"/>
    </row>
    <row r="718" spans="1:30" s="71" customFormat="1" ht="20.25" customHeight="1">
      <c r="A718" s="294"/>
      <c r="B718" s="293" t="s">
        <v>749</v>
      </c>
      <c r="C718" s="307">
        <v>1</v>
      </c>
      <c r="D718" s="294">
        <v>1</v>
      </c>
      <c r="E718" s="307">
        <v>1</v>
      </c>
      <c r="F718" s="294">
        <v>0.98199999999999998</v>
      </c>
      <c r="G718" s="294">
        <v>0.23</v>
      </c>
      <c r="H718" s="295">
        <v>2.4500000000000002</v>
      </c>
      <c r="I718" s="298">
        <f t="shared" si="32"/>
        <v>0.55000000000000004</v>
      </c>
      <c r="J718" s="303"/>
      <c r="K718" s="72"/>
      <c r="L718" s="72"/>
      <c r="M718" s="72"/>
      <c r="N718" s="72"/>
      <c r="O718" s="72"/>
      <c r="P718" s="72"/>
      <c r="Q718" s="72"/>
      <c r="R718" s="72"/>
      <c r="S718" s="72"/>
      <c r="T718" s="72"/>
      <c r="U718" s="72"/>
      <c r="V718" s="72"/>
      <c r="W718" s="72"/>
      <c r="X718" s="72"/>
      <c r="Y718" s="72"/>
      <c r="Z718" s="72"/>
      <c r="AA718" s="72"/>
      <c r="AB718" s="72"/>
      <c r="AC718" s="72"/>
      <c r="AD718" s="72"/>
    </row>
    <row r="719" spans="1:30" s="71" customFormat="1" ht="20.25" customHeight="1">
      <c r="A719" s="294"/>
      <c r="B719" s="471" t="s">
        <v>92</v>
      </c>
      <c r="C719" s="294">
        <v>1</v>
      </c>
      <c r="D719" s="294">
        <v>1</v>
      </c>
      <c r="E719" s="294">
        <v>10</v>
      </c>
      <c r="F719" s="294">
        <v>2.0150000000000001</v>
      </c>
      <c r="G719" s="294">
        <v>0.3</v>
      </c>
      <c r="H719" s="295">
        <v>0.15</v>
      </c>
      <c r="I719" s="298">
        <f t="shared" si="32"/>
        <v>0.91</v>
      </c>
      <c r="J719" s="303"/>
      <c r="K719" s="72"/>
      <c r="L719" s="72"/>
      <c r="M719" s="72"/>
      <c r="N719" s="72"/>
      <c r="O719" s="72"/>
      <c r="P719" s="72"/>
      <c r="Q719" s="72"/>
      <c r="R719" s="72"/>
      <c r="S719" s="72"/>
      <c r="T719" s="72"/>
      <c r="U719" s="72"/>
      <c r="V719" s="72"/>
      <c r="W719" s="72"/>
      <c r="X719" s="72"/>
      <c r="Y719" s="72"/>
      <c r="Z719" s="72"/>
      <c r="AA719" s="72"/>
      <c r="AB719" s="72"/>
      <c r="AC719" s="72"/>
      <c r="AD719" s="72"/>
    </row>
    <row r="720" spans="1:30" s="71" customFormat="1" ht="20.25" customHeight="1">
      <c r="A720" s="294"/>
      <c r="B720" s="293" t="s">
        <v>715</v>
      </c>
      <c r="C720" s="294">
        <v>10</v>
      </c>
      <c r="D720" s="294">
        <v>1</v>
      </c>
      <c r="E720" s="294">
        <v>2</v>
      </c>
      <c r="F720" s="295">
        <v>0.6</v>
      </c>
      <c r="G720" s="300">
        <v>0.23</v>
      </c>
      <c r="H720" s="294">
        <v>0.75</v>
      </c>
      <c r="I720" s="298">
        <f t="shared" si="32"/>
        <v>2.0699999999999998</v>
      </c>
      <c r="J720" s="303"/>
      <c r="K720" s="72"/>
      <c r="L720" s="72"/>
      <c r="M720" s="72"/>
      <c r="N720" s="72"/>
      <c r="O720" s="72"/>
      <c r="P720" s="72"/>
      <c r="Q720" s="72"/>
      <c r="R720" s="72"/>
      <c r="S720" s="72"/>
      <c r="T720" s="72"/>
      <c r="U720" s="72"/>
      <c r="V720" s="72"/>
      <c r="W720" s="72"/>
      <c r="X720" s="72"/>
      <c r="Y720" s="72"/>
      <c r="Z720" s="72"/>
      <c r="AA720" s="72"/>
      <c r="AB720" s="72"/>
      <c r="AC720" s="72"/>
      <c r="AD720" s="72"/>
    </row>
    <row r="721" spans="1:30" s="115" customFormat="1" ht="24.75" customHeight="1">
      <c r="A721" s="307"/>
      <c r="B721" s="445" t="s">
        <v>944</v>
      </c>
      <c r="C721" s="307"/>
      <c r="D721" s="307"/>
      <c r="E721" s="307"/>
      <c r="F721" s="335"/>
      <c r="G721" s="308"/>
      <c r="H721" s="308"/>
      <c r="I721" s="323"/>
      <c r="J721" s="448"/>
      <c r="K721" s="117"/>
      <c r="L721" s="117"/>
      <c r="M721" s="117"/>
      <c r="N721" s="116"/>
      <c r="O721" s="116"/>
      <c r="P721" s="116"/>
      <c r="Q721" s="116"/>
      <c r="R721" s="116"/>
      <c r="S721" s="116"/>
      <c r="T721" s="116"/>
      <c r="U721" s="116"/>
      <c r="V721" s="116"/>
      <c r="W721" s="116"/>
      <c r="X721" s="116"/>
      <c r="Y721" s="116"/>
      <c r="Z721" s="116"/>
      <c r="AA721" s="116"/>
      <c r="AB721" s="116"/>
      <c r="AC721" s="116"/>
      <c r="AD721" s="116"/>
    </row>
    <row r="722" spans="1:30" s="6" customFormat="1">
      <c r="A722" s="427"/>
      <c r="B722" s="427" t="s">
        <v>931</v>
      </c>
      <c r="C722" s="428">
        <v>-1</v>
      </c>
      <c r="D722" s="428">
        <v>1</v>
      </c>
      <c r="E722" s="428">
        <v>65</v>
      </c>
      <c r="F722" s="430">
        <v>0.23</v>
      </c>
      <c r="G722" s="430">
        <v>0.45</v>
      </c>
      <c r="H722" s="430">
        <v>2.65</v>
      </c>
      <c r="I722" s="430">
        <f>PRODUCT(C722:H722)</f>
        <v>-17.829999999999998</v>
      </c>
      <c r="J722" s="431"/>
    </row>
    <row r="723" spans="1:30" s="6" customFormat="1">
      <c r="A723" s="427"/>
      <c r="B723" s="427" t="s">
        <v>75</v>
      </c>
      <c r="C723" s="428">
        <v>-1</v>
      </c>
      <c r="D723" s="428">
        <v>1</v>
      </c>
      <c r="E723" s="428">
        <v>20</v>
      </c>
      <c r="F723" s="430">
        <v>0.23</v>
      </c>
      <c r="G723" s="430">
        <v>0.6</v>
      </c>
      <c r="H723" s="430">
        <v>2.65</v>
      </c>
      <c r="I723" s="430">
        <f>PRODUCT(C723:H723)</f>
        <v>-7.31</v>
      </c>
      <c r="J723" s="431"/>
    </row>
    <row r="724" spans="1:30" s="6" customFormat="1">
      <c r="A724" s="427"/>
      <c r="B724" s="427" t="s">
        <v>76</v>
      </c>
      <c r="C724" s="428">
        <v>-1</v>
      </c>
      <c r="D724" s="428">
        <v>1</v>
      </c>
      <c r="E724" s="428">
        <v>3</v>
      </c>
      <c r="F724" s="430">
        <v>0.23</v>
      </c>
      <c r="G724" s="430">
        <v>0.6</v>
      </c>
      <c r="H724" s="430">
        <v>2.65</v>
      </c>
      <c r="I724" s="430">
        <f>PRODUCT(C724:H724)</f>
        <v>-1.1000000000000001</v>
      </c>
      <c r="J724" s="431"/>
    </row>
    <row r="725" spans="1:30" s="6" customFormat="1">
      <c r="A725" s="427"/>
      <c r="B725" s="427" t="s">
        <v>485</v>
      </c>
      <c r="C725" s="428">
        <v>-1</v>
      </c>
      <c r="D725" s="428">
        <v>1</v>
      </c>
      <c r="E725" s="428">
        <v>4</v>
      </c>
      <c r="F725" s="430">
        <v>0.23</v>
      </c>
      <c r="G725" s="430">
        <v>0.75</v>
      </c>
      <c r="H725" s="430">
        <v>2.65</v>
      </c>
      <c r="I725" s="430">
        <f>PRODUCT(C725:H725)</f>
        <v>-1.83</v>
      </c>
      <c r="J725" s="431"/>
    </row>
    <row r="726" spans="1:30" s="6" customFormat="1">
      <c r="A726" s="427"/>
      <c r="B726" s="427" t="s">
        <v>487</v>
      </c>
      <c r="C726" s="428">
        <v>-1</v>
      </c>
      <c r="D726" s="428">
        <v>1</v>
      </c>
      <c r="E726" s="428">
        <v>1</v>
      </c>
      <c r="F726" s="430">
        <v>0.23</v>
      </c>
      <c r="G726" s="430">
        <v>0.75</v>
      </c>
      <c r="H726" s="430">
        <v>2.65</v>
      </c>
      <c r="I726" s="430">
        <f>PRODUCT(C726:H726)</f>
        <v>-0.46</v>
      </c>
      <c r="J726" s="431"/>
    </row>
    <row r="727" spans="1:30" s="2" customFormat="1" ht="23.25" customHeight="1">
      <c r="A727" s="278"/>
      <c r="B727" s="279"/>
      <c r="C727" s="280"/>
      <c r="D727" s="280"/>
      <c r="E727" s="280"/>
      <c r="F727" s="282"/>
      <c r="G727" s="282"/>
      <c r="H727" s="282"/>
      <c r="I727" s="283">
        <f>SUM(I673:I726)</f>
        <v>213.83</v>
      </c>
      <c r="J727" s="340" t="s">
        <v>21</v>
      </c>
      <c r="K727" s="39"/>
      <c r="L727" s="39"/>
      <c r="M727" s="39"/>
      <c r="N727" s="9"/>
      <c r="O727" s="9"/>
      <c r="P727" s="9"/>
      <c r="Q727" s="9"/>
      <c r="R727" s="9"/>
      <c r="S727" s="9"/>
      <c r="T727" s="9"/>
      <c r="U727" s="9"/>
      <c r="V727" s="9"/>
      <c r="W727" s="9"/>
      <c r="X727" s="9"/>
      <c r="Y727" s="9"/>
      <c r="Z727" s="9"/>
      <c r="AA727" s="9"/>
      <c r="AB727" s="9"/>
      <c r="AC727" s="9"/>
      <c r="AD727" s="9"/>
    </row>
    <row r="728" spans="1:30" s="2" customFormat="1" ht="23.25" customHeight="1">
      <c r="A728" s="278"/>
      <c r="B728" s="279"/>
      <c r="C728" s="280"/>
      <c r="D728" s="280"/>
      <c r="E728" s="280"/>
      <c r="F728" s="282"/>
      <c r="G728" s="282"/>
      <c r="H728" s="415" t="s">
        <v>55</v>
      </c>
      <c r="I728" s="416">
        <f>ROUNDUP(I727,0)</f>
        <v>214</v>
      </c>
      <c r="J728" s="343" t="s">
        <v>21</v>
      </c>
      <c r="K728" s="44"/>
      <c r="L728" s="44"/>
      <c r="M728" s="44"/>
      <c r="N728" s="9"/>
      <c r="O728" s="9"/>
      <c r="P728" s="9"/>
      <c r="Q728" s="9"/>
      <c r="R728" s="9"/>
      <c r="S728" s="9"/>
      <c r="T728" s="9"/>
      <c r="U728" s="9"/>
      <c r="V728" s="9"/>
      <c r="W728" s="9"/>
      <c r="X728" s="9"/>
      <c r="Y728" s="9"/>
      <c r="Z728" s="9"/>
      <c r="AA728" s="9"/>
      <c r="AB728" s="9"/>
      <c r="AC728" s="9"/>
      <c r="AD728" s="9"/>
    </row>
    <row r="729" spans="1:30" s="2" customFormat="1" ht="23.25" customHeight="1">
      <c r="A729" s="278"/>
      <c r="B729" s="286" t="s">
        <v>296</v>
      </c>
      <c r="C729" s="280"/>
      <c r="D729" s="280"/>
      <c r="E729" s="280"/>
      <c r="F729" s="282"/>
      <c r="G729" s="282"/>
      <c r="H729" s="282"/>
      <c r="I729" s="283"/>
      <c r="J729" s="284"/>
      <c r="K729" s="43"/>
      <c r="L729" s="43"/>
      <c r="M729" s="43"/>
      <c r="N729" s="9"/>
      <c r="O729" s="9"/>
      <c r="P729" s="9"/>
      <c r="Q729" s="9"/>
      <c r="R729" s="9"/>
      <c r="S729" s="9"/>
      <c r="T729" s="9"/>
      <c r="U729" s="9"/>
      <c r="V729" s="9"/>
      <c r="W729" s="9"/>
      <c r="X729" s="9"/>
      <c r="Y729" s="9"/>
      <c r="Z729" s="9"/>
      <c r="AA729" s="9"/>
      <c r="AB729" s="9"/>
      <c r="AC729" s="9"/>
      <c r="AD729" s="9"/>
    </row>
    <row r="730" spans="1:30" s="2" customFormat="1" ht="23.25" customHeight="1">
      <c r="A730" s="278"/>
      <c r="B730" s="286" t="s">
        <v>283</v>
      </c>
      <c r="C730" s="280"/>
      <c r="D730" s="280"/>
      <c r="E730" s="280"/>
      <c r="F730" s="282"/>
      <c r="G730" s="282"/>
      <c r="H730" s="282"/>
      <c r="I730" s="416">
        <f>I728</f>
        <v>214</v>
      </c>
      <c r="J730" s="343" t="s">
        <v>21</v>
      </c>
      <c r="K730" s="44"/>
      <c r="L730" s="44"/>
      <c r="M730" s="44"/>
      <c r="N730" s="9"/>
      <c r="O730" s="9"/>
      <c r="P730" s="9"/>
      <c r="Q730" s="9"/>
      <c r="R730" s="9"/>
      <c r="S730" s="9"/>
      <c r="T730" s="9"/>
      <c r="U730" s="9"/>
      <c r="V730" s="9"/>
      <c r="W730" s="9"/>
      <c r="X730" s="9"/>
      <c r="Y730" s="9"/>
      <c r="Z730" s="9"/>
      <c r="AA730" s="9"/>
      <c r="AB730" s="9"/>
      <c r="AC730" s="9"/>
      <c r="AD730" s="9"/>
    </row>
    <row r="731" spans="1:30" s="2" customFormat="1" ht="23.25" customHeight="1">
      <c r="A731" s="278"/>
      <c r="B731" s="286" t="s">
        <v>295</v>
      </c>
      <c r="C731" s="280"/>
      <c r="D731" s="280"/>
      <c r="E731" s="280"/>
      <c r="F731" s="282"/>
      <c r="G731" s="282"/>
      <c r="H731" s="282"/>
      <c r="I731" s="416"/>
      <c r="J731" s="284"/>
      <c r="K731" s="43"/>
      <c r="L731" s="43"/>
      <c r="M731" s="43"/>
      <c r="N731" s="9"/>
      <c r="O731" s="9"/>
      <c r="P731" s="9"/>
      <c r="Q731" s="9"/>
      <c r="R731" s="9"/>
      <c r="S731" s="9"/>
      <c r="T731" s="9"/>
      <c r="U731" s="9"/>
      <c r="V731" s="9"/>
      <c r="W731" s="9"/>
      <c r="X731" s="9"/>
      <c r="Y731" s="9"/>
      <c r="Z731" s="9"/>
      <c r="AA731" s="9"/>
      <c r="AB731" s="9"/>
      <c r="AC731" s="9"/>
      <c r="AD731" s="9"/>
    </row>
    <row r="732" spans="1:30" s="2" customFormat="1" ht="23.25" customHeight="1">
      <c r="A732" s="278"/>
      <c r="B732" s="286" t="s">
        <v>283</v>
      </c>
      <c r="C732" s="280"/>
      <c r="D732" s="280"/>
      <c r="E732" s="280"/>
      <c r="F732" s="282"/>
      <c r="G732" s="282"/>
      <c r="H732" s="282"/>
      <c r="I732" s="416">
        <f>I730</f>
        <v>214</v>
      </c>
      <c r="J732" s="343" t="s">
        <v>21</v>
      </c>
      <c r="K732" s="44"/>
      <c r="L732" s="44"/>
      <c r="M732" s="44"/>
      <c r="N732" s="9"/>
      <c r="O732" s="9"/>
      <c r="P732" s="9"/>
      <c r="Q732" s="9"/>
      <c r="R732" s="9"/>
      <c r="S732" s="9"/>
      <c r="T732" s="9"/>
      <c r="U732" s="9"/>
      <c r="V732" s="9"/>
      <c r="W732" s="9"/>
      <c r="X732" s="9"/>
      <c r="Y732" s="9"/>
      <c r="Z732" s="9"/>
      <c r="AA732" s="9"/>
      <c r="AB732" s="9"/>
      <c r="AC732" s="9"/>
      <c r="AD732" s="9"/>
    </row>
    <row r="733" spans="1:30" s="2" customFormat="1" ht="23.25" customHeight="1">
      <c r="A733" s="278"/>
      <c r="B733" s="286" t="s">
        <v>294</v>
      </c>
      <c r="C733" s="280"/>
      <c r="D733" s="280"/>
      <c r="E733" s="280"/>
      <c r="F733" s="282"/>
      <c r="G733" s="282"/>
      <c r="H733" s="282"/>
      <c r="I733" s="416"/>
      <c r="J733" s="284"/>
      <c r="K733" s="43"/>
      <c r="L733" s="43"/>
      <c r="M733" s="43"/>
      <c r="N733" s="9"/>
      <c r="O733" s="9"/>
      <c r="P733" s="9"/>
      <c r="Q733" s="9"/>
      <c r="R733" s="9"/>
      <c r="S733" s="9"/>
      <c r="T733" s="9"/>
      <c r="U733" s="9"/>
      <c r="V733" s="9"/>
      <c r="W733" s="9"/>
      <c r="X733" s="9"/>
      <c r="Y733" s="9"/>
      <c r="Z733" s="9"/>
      <c r="AA733" s="9"/>
      <c r="AB733" s="9"/>
      <c r="AC733" s="9"/>
      <c r="AD733" s="9"/>
    </row>
    <row r="734" spans="1:30" s="2" customFormat="1" ht="23.25" customHeight="1">
      <c r="A734" s="278"/>
      <c r="B734" s="286" t="s">
        <v>283</v>
      </c>
      <c r="C734" s="280"/>
      <c r="D734" s="280"/>
      <c r="E734" s="280"/>
      <c r="F734" s="282"/>
      <c r="G734" s="282"/>
      <c r="H734" s="282"/>
      <c r="I734" s="416">
        <f>I732</f>
        <v>214</v>
      </c>
      <c r="J734" s="343" t="s">
        <v>21</v>
      </c>
      <c r="K734" s="44"/>
      <c r="L734" s="44"/>
      <c r="M734" s="44"/>
      <c r="N734" s="9"/>
      <c r="O734" s="9"/>
      <c r="P734" s="9"/>
      <c r="Q734" s="9"/>
      <c r="R734" s="9"/>
      <c r="S734" s="9"/>
      <c r="T734" s="9"/>
      <c r="U734" s="9"/>
      <c r="V734" s="9"/>
      <c r="W734" s="9"/>
      <c r="X734" s="9"/>
      <c r="Y734" s="9"/>
      <c r="Z734" s="9"/>
      <c r="AA734" s="9"/>
      <c r="AB734" s="9"/>
      <c r="AC734" s="9"/>
      <c r="AD734" s="9"/>
    </row>
    <row r="735" spans="1:30" s="2" customFormat="1" ht="23.25" customHeight="1">
      <c r="A735" s="278"/>
      <c r="B735" s="286" t="s">
        <v>293</v>
      </c>
      <c r="C735" s="280"/>
      <c r="D735" s="280"/>
      <c r="E735" s="280"/>
      <c r="F735" s="282"/>
      <c r="G735" s="282"/>
      <c r="H735" s="282"/>
      <c r="I735" s="416"/>
      <c r="J735" s="284"/>
      <c r="K735" s="43"/>
      <c r="L735" s="43"/>
      <c r="M735" s="43"/>
      <c r="N735" s="9"/>
      <c r="O735" s="9"/>
      <c r="P735" s="9"/>
      <c r="Q735" s="9"/>
      <c r="R735" s="9"/>
      <c r="S735" s="9"/>
      <c r="T735" s="9"/>
      <c r="U735" s="9"/>
      <c r="V735" s="9"/>
      <c r="W735" s="9"/>
      <c r="X735" s="9"/>
      <c r="Y735" s="9"/>
      <c r="Z735" s="9"/>
      <c r="AA735" s="9"/>
      <c r="AB735" s="9"/>
      <c r="AC735" s="9"/>
      <c r="AD735" s="9"/>
    </row>
    <row r="736" spans="1:30" s="2" customFormat="1" ht="23.25" customHeight="1">
      <c r="A736" s="278"/>
      <c r="B736" s="286" t="s">
        <v>283</v>
      </c>
      <c r="C736" s="280"/>
      <c r="D736" s="280"/>
      <c r="E736" s="280"/>
      <c r="F736" s="282"/>
      <c r="G736" s="589" t="s">
        <v>41</v>
      </c>
      <c r="H736" s="590"/>
      <c r="I736" s="416">
        <f>I734</f>
        <v>214</v>
      </c>
      <c r="J736" s="343" t="s">
        <v>21</v>
      </c>
      <c r="K736" s="44"/>
      <c r="L736" s="44"/>
      <c r="M736" s="44"/>
      <c r="N736" s="9"/>
      <c r="O736" s="9"/>
      <c r="P736" s="9"/>
      <c r="Q736" s="9"/>
      <c r="R736" s="9"/>
      <c r="S736" s="9"/>
      <c r="T736" s="9"/>
      <c r="U736" s="9"/>
      <c r="V736" s="9"/>
      <c r="W736" s="9"/>
      <c r="X736" s="9"/>
      <c r="Y736" s="9"/>
      <c r="Z736" s="9"/>
      <c r="AA736" s="9"/>
      <c r="AB736" s="9"/>
      <c r="AC736" s="9"/>
      <c r="AD736" s="9"/>
    </row>
    <row r="737" spans="1:30" s="2" customFormat="1" ht="23.25" customHeight="1">
      <c r="A737" s="278"/>
      <c r="B737" s="286" t="s">
        <v>292</v>
      </c>
      <c r="C737" s="280"/>
      <c r="D737" s="280"/>
      <c r="E737" s="280"/>
      <c r="F737" s="282"/>
      <c r="G737" s="282"/>
      <c r="H737" s="282"/>
      <c r="I737" s="416"/>
      <c r="J737" s="284"/>
      <c r="K737" s="43"/>
      <c r="L737" s="43"/>
      <c r="M737" s="43"/>
      <c r="N737" s="9"/>
      <c r="O737" s="9"/>
      <c r="P737" s="9"/>
      <c r="Q737" s="9"/>
      <c r="R737" s="9"/>
      <c r="S737" s="9"/>
      <c r="T737" s="9"/>
      <c r="U737" s="9"/>
      <c r="V737" s="9"/>
      <c r="W737" s="9"/>
      <c r="X737" s="9"/>
      <c r="Y737" s="9"/>
      <c r="Z737" s="9"/>
      <c r="AA737" s="9"/>
      <c r="AB737" s="9"/>
      <c r="AC737" s="9"/>
      <c r="AD737" s="9"/>
    </row>
    <row r="738" spans="1:30" s="2" customFormat="1" ht="23.25" customHeight="1">
      <c r="A738" s="278"/>
      <c r="B738" s="286" t="s">
        <v>283</v>
      </c>
      <c r="C738" s="280"/>
      <c r="D738" s="280"/>
      <c r="E738" s="280"/>
      <c r="F738" s="282"/>
      <c r="G738" s="282"/>
      <c r="H738" s="282"/>
      <c r="I738" s="416">
        <f>I736</f>
        <v>214</v>
      </c>
      <c r="J738" s="343" t="s">
        <v>21</v>
      </c>
      <c r="K738" s="44"/>
      <c r="L738" s="44"/>
      <c r="M738" s="44"/>
      <c r="N738" s="9"/>
      <c r="O738" s="9"/>
      <c r="P738" s="9"/>
      <c r="Q738" s="9"/>
      <c r="R738" s="9"/>
      <c r="S738" s="9"/>
      <c r="T738" s="9"/>
      <c r="U738" s="9"/>
      <c r="V738" s="9"/>
      <c r="W738" s="9"/>
      <c r="X738" s="9"/>
      <c r="Y738" s="9"/>
      <c r="Z738" s="9"/>
      <c r="AA738" s="9"/>
      <c r="AB738" s="9"/>
      <c r="AC738" s="9"/>
      <c r="AD738" s="9"/>
    </row>
    <row r="739" spans="1:30" s="2" customFormat="1" ht="23.25" customHeight="1">
      <c r="A739" s="278"/>
      <c r="B739" s="286" t="s">
        <v>291</v>
      </c>
      <c r="C739" s="280"/>
      <c r="D739" s="280"/>
      <c r="E739" s="280"/>
      <c r="F739" s="282"/>
      <c r="G739" s="282"/>
      <c r="H739" s="282"/>
      <c r="I739" s="416"/>
      <c r="J739" s="284"/>
      <c r="K739" s="43"/>
      <c r="L739" s="43"/>
      <c r="M739" s="43"/>
      <c r="N739" s="9"/>
      <c r="O739" s="9"/>
      <c r="P739" s="9"/>
      <c r="Q739" s="9"/>
      <c r="R739" s="9"/>
      <c r="S739" s="9"/>
      <c r="T739" s="9"/>
      <c r="U739" s="9"/>
      <c r="V739" s="9"/>
      <c r="W739" s="9"/>
      <c r="X739" s="9"/>
      <c r="Y739" s="9"/>
      <c r="Z739" s="9"/>
      <c r="AA739" s="9"/>
      <c r="AB739" s="9"/>
      <c r="AC739" s="9"/>
      <c r="AD739" s="9"/>
    </row>
    <row r="740" spans="1:30" s="2" customFormat="1" ht="23.25" customHeight="1">
      <c r="A740" s="278"/>
      <c r="B740" s="286" t="s">
        <v>283</v>
      </c>
      <c r="C740" s="280"/>
      <c r="D740" s="280"/>
      <c r="E740" s="280"/>
      <c r="F740" s="282"/>
      <c r="G740" s="282"/>
      <c r="H740" s="282"/>
      <c r="I740" s="416">
        <f>I738</f>
        <v>214</v>
      </c>
      <c r="J740" s="343" t="s">
        <v>21</v>
      </c>
      <c r="K740" s="44"/>
      <c r="L740" s="44"/>
      <c r="M740" s="44"/>
      <c r="N740" s="9"/>
      <c r="O740" s="9"/>
      <c r="P740" s="9"/>
      <c r="Q740" s="9"/>
      <c r="R740" s="9"/>
      <c r="S740" s="9"/>
      <c r="T740" s="9"/>
      <c r="U740" s="9"/>
      <c r="V740" s="9"/>
      <c r="W740" s="9"/>
      <c r="X740" s="9"/>
      <c r="Y740" s="9"/>
      <c r="Z740" s="9"/>
      <c r="AA740" s="9"/>
      <c r="AB740" s="9"/>
      <c r="AC740" s="9"/>
      <c r="AD740" s="9"/>
    </row>
    <row r="741" spans="1:30" s="2" customFormat="1" ht="23.25" customHeight="1">
      <c r="A741" s="278"/>
      <c r="B741" s="286" t="s">
        <v>290</v>
      </c>
      <c r="C741" s="280"/>
      <c r="D741" s="280"/>
      <c r="E741" s="280"/>
      <c r="F741" s="282"/>
      <c r="G741" s="282"/>
      <c r="H741" s="282"/>
      <c r="I741" s="416"/>
      <c r="J741" s="284"/>
      <c r="K741" s="43"/>
      <c r="L741" s="43"/>
      <c r="M741" s="43"/>
      <c r="N741" s="9"/>
      <c r="O741" s="9"/>
      <c r="P741" s="9"/>
      <c r="Q741" s="9"/>
      <c r="R741" s="9"/>
      <c r="S741" s="9"/>
      <c r="T741" s="9"/>
      <c r="U741" s="9"/>
      <c r="V741" s="9"/>
      <c r="W741" s="9"/>
      <c r="X741" s="9"/>
      <c r="Y741" s="9"/>
      <c r="Z741" s="9"/>
      <c r="AA741" s="9"/>
      <c r="AB741" s="9"/>
      <c r="AC741" s="9"/>
      <c r="AD741" s="9"/>
    </row>
    <row r="742" spans="1:30" s="2" customFormat="1" ht="23.25" customHeight="1">
      <c r="A742" s="278"/>
      <c r="B742" s="286" t="s">
        <v>283</v>
      </c>
      <c r="C742" s="280"/>
      <c r="D742" s="280"/>
      <c r="E742" s="280"/>
      <c r="F742" s="282"/>
      <c r="G742" s="282"/>
      <c r="H742" s="282"/>
      <c r="I742" s="416">
        <f>I740</f>
        <v>214</v>
      </c>
      <c r="J742" s="343" t="s">
        <v>21</v>
      </c>
      <c r="K742" s="44"/>
      <c r="L742" s="44"/>
      <c r="M742" s="44"/>
      <c r="N742" s="9"/>
      <c r="O742" s="9"/>
      <c r="P742" s="9"/>
      <c r="Q742" s="9"/>
      <c r="R742" s="9"/>
      <c r="S742" s="9"/>
      <c r="T742" s="9"/>
      <c r="U742" s="9"/>
      <c r="V742" s="9"/>
      <c r="W742" s="9"/>
      <c r="X742" s="9"/>
      <c r="Y742" s="9"/>
      <c r="Z742" s="9"/>
      <c r="AA742" s="9"/>
      <c r="AB742" s="9"/>
      <c r="AC742" s="9"/>
      <c r="AD742" s="9"/>
    </row>
    <row r="743" spans="1:30" s="2" customFormat="1" ht="23.25" customHeight="1">
      <c r="A743" s="278"/>
      <c r="B743" s="286" t="s">
        <v>289</v>
      </c>
      <c r="C743" s="280"/>
      <c r="D743" s="280"/>
      <c r="E743" s="280"/>
      <c r="F743" s="282"/>
      <c r="G743" s="282"/>
      <c r="H743" s="282"/>
      <c r="I743" s="416"/>
      <c r="J743" s="284"/>
      <c r="K743" s="43"/>
      <c r="L743" s="43"/>
      <c r="M743" s="43"/>
      <c r="N743" s="9"/>
      <c r="O743" s="9"/>
      <c r="P743" s="9"/>
      <c r="Q743" s="9"/>
      <c r="R743" s="9"/>
      <c r="S743" s="9"/>
      <c r="T743" s="9"/>
      <c r="U743" s="9"/>
      <c r="V743" s="9"/>
      <c r="W743" s="9"/>
      <c r="X743" s="9"/>
      <c r="Y743" s="9"/>
      <c r="Z743" s="9"/>
      <c r="AA743" s="9"/>
      <c r="AB743" s="9"/>
      <c r="AC743" s="9"/>
      <c r="AD743" s="9"/>
    </row>
    <row r="744" spans="1:30" s="2" customFormat="1" ht="23.25" customHeight="1">
      <c r="A744" s="278"/>
      <c r="B744" s="286" t="s">
        <v>283</v>
      </c>
      <c r="C744" s="280"/>
      <c r="D744" s="280"/>
      <c r="E744" s="280"/>
      <c r="F744" s="282"/>
      <c r="G744" s="282"/>
      <c r="H744" s="282"/>
      <c r="I744" s="416">
        <f>I742</f>
        <v>214</v>
      </c>
      <c r="J744" s="343" t="s">
        <v>21</v>
      </c>
      <c r="K744" s="44"/>
      <c r="L744" s="44"/>
      <c r="M744" s="44"/>
      <c r="N744" s="9"/>
      <c r="O744" s="9"/>
      <c r="P744" s="9"/>
      <c r="Q744" s="9"/>
      <c r="R744" s="9"/>
      <c r="S744" s="9"/>
      <c r="T744" s="9"/>
      <c r="U744" s="9"/>
      <c r="V744" s="9"/>
      <c r="W744" s="9"/>
      <c r="X744" s="9"/>
      <c r="Y744" s="9"/>
      <c r="Z744" s="9"/>
      <c r="AA744" s="9"/>
      <c r="AB744" s="9"/>
      <c r="AC744" s="9"/>
      <c r="AD744" s="9"/>
    </row>
    <row r="745" spans="1:30" s="2" customFormat="1" ht="23.25" customHeight="1">
      <c r="A745" s="278"/>
      <c r="B745" s="286" t="s">
        <v>288</v>
      </c>
      <c r="C745" s="280"/>
      <c r="D745" s="280"/>
      <c r="E745" s="280"/>
      <c r="F745" s="282"/>
      <c r="G745" s="282"/>
      <c r="H745" s="282"/>
      <c r="I745" s="416"/>
      <c r="J745" s="284"/>
      <c r="K745" s="43"/>
      <c r="L745" s="43"/>
      <c r="M745" s="43"/>
      <c r="N745" s="9"/>
      <c r="O745" s="9"/>
      <c r="P745" s="9"/>
      <c r="Q745" s="9"/>
      <c r="R745" s="9"/>
      <c r="S745" s="9"/>
      <c r="T745" s="9"/>
      <c r="U745" s="9"/>
      <c r="V745" s="9"/>
      <c r="W745" s="9"/>
      <c r="X745" s="9"/>
      <c r="Y745" s="9"/>
      <c r="Z745" s="9"/>
      <c r="AA745" s="9"/>
      <c r="AB745" s="9"/>
      <c r="AC745" s="9"/>
      <c r="AD745" s="9"/>
    </row>
    <row r="746" spans="1:30" s="53" customFormat="1" ht="21.75" customHeight="1">
      <c r="A746" s="294"/>
      <c r="B746" s="293" t="s">
        <v>748</v>
      </c>
      <c r="C746" s="294">
        <v>5</v>
      </c>
      <c r="D746" s="294">
        <v>1</v>
      </c>
      <c r="E746" s="294">
        <v>2</v>
      </c>
      <c r="F746" s="300">
        <v>4.3899999999999997</v>
      </c>
      <c r="G746" s="295">
        <v>0.23</v>
      </c>
      <c r="H746" s="295">
        <v>0.65</v>
      </c>
      <c r="I746" s="323">
        <f>PRODUCT(C746:H746)</f>
        <v>6.56</v>
      </c>
      <c r="J746" s="294"/>
      <c r="K746" s="54"/>
      <c r="L746" s="54"/>
      <c r="M746" s="54"/>
      <c r="N746" s="54"/>
      <c r="O746" s="54"/>
      <c r="P746" s="54"/>
      <c r="Q746" s="54"/>
      <c r="R746" s="54"/>
      <c r="S746" s="54"/>
      <c r="T746" s="54"/>
      <c r="U746" s="54"/>
      <c r="V746" s="54"/>
      <c r="W746" s="54"/>
      <c r="X746" s="54"/>
      <c r="Y746" s="54"/>
      <c r="Z746" s="54"/>
      <c r="AA746" s="54"/>
      <c r="AB746" s="54"/>
      <c r="AC746" s="54"/>
      <c r="AD746" s="54"/>
    </row>
    <row r="747" spans="1:30" s="53" customFormat="1" ht="21.75" customHeight="1">
      <c r="A747" s="294"/>
      <c r="B747" s="293" t="s">
        <v>748</v>
      </c>
      <c r="C747" s="294">
        <v>5</v>
      </c>
      <c r="D747" s="294">
        <v>1</v>
      </c>
      <c r="E747" s="294">
        <v>2</v>
      </c>
      <c r="F747" s="300">
        <v>4.3899999999999997</v>
      </c>
      <c r="G747" s="295">
        <v>0.23</v>
      </c>
      <c r="H747" s="295">
        <v>0.65</v>
      </c>
      <c r="I747" s="323">
        <f>PRODUCT(C747:H747)</f>
        <v>6.56</v>
      </c>
      <c r="J747" s="294"/>
      <c r="K747" s="54"/>
      <c r="L747" s="54"/>
      <c r="M747" s="54"/>
      <c r="N747" s="54"/>
      <c r="O747" s="54"/>
      <c r="P747" s="54"/>
      <c r="Q747" s="54"/>
      <c r="R747" s="54"/>
      <c r="S747" s="54"/>
      <c r="T747" s="54"/>
      <c r="U747" s="54"/>
      <c r="V747" s="54"/>
      <c r="W747" s="54"/>
      <c r="X747" s="54"/>
      <c r="Y747" s="54"/>
      <c r="Z747" s="54"/>
      <c r="AA747" s="54"/>
      <c r="AB747" s="54"/>
      <c r="AC747" s="54"/>
      <c r="AD747" s="54"/>
    </row>
    <row r="748" spans="1:30" s="33" customFormat="1" ht="23.25" customHeight="1">
      <c r="A748" s="278"/>
      <c r="B748" s="286"/>
      <c r="C748" s="280"/>
      <c r="D748" s="280"/>
      <c r="E748" s="280"/>
      <c r="F748" s="282"/>
      <c r="G748" s="282"/>
      <c r="H748" s="282"/>
      <c r="I748" s="416">
        <f>SUM(I744:I747)</f>
        <v>227.12</v>
      </c>
      <c r="J748" s="340" t="s">
        <v>21</v>
      </c>
      <c r="K748" s="39"/>
      <c r="L748" s="39"/>
      <c r="M748" s="39"/>
      <c r="N748" s="34"/>
      <c r="O748" s="34"/>
      <c r="P748" s="34"/>
      <c r="Q748" s="34"/>
      <c r="R748" s="34"/>
      <c r="S748" s="34"/>
      <c r="T748" s="34"/>
      <c r="U748" s="34"/>
      <c r="V748" s="34"/>
      <c r="W748" s="34"/>
      <c r="X748" s="34"/>
      <c r="Y748" s="34"/>
      <c r="Z748" s="34"/>
      <c r="AA748" s="34"/>
      <c r="AB748" s="34"/>
      <c r="AC748" s="34"/>
      <c r="AD748" s="34"/>
    </row>
    <row r="749" spans="1:30" s="2" customFormat="1" ht="23.25" customHeight="1">
      <c r="A749" s="278"/>
      <c r="B749" s="286"/>
      <c r="C749" s="280"/>
      <c r="D749" s="280"/>
      <c r="E749" s="280"/>
      <c r="F749" s="282"/>
      <c r="G749" s="282"/>
      <c r="H749" s="415" t="s">
        <v>55</v>
      </c>
      <c r="I749" s="416">
        <f>ROUNDUP(I748,1)</f>
        <v>227.2</v>
      </c>
      <c r="J749" s="343" t="s">
        <v>21</v>
      </c>
      <c r="K749" s="44"/>
      <c r="L749" s="44"/>
      <c r="M749" s="44"/>
      <c r="N749" s="9"/>
      <c r="O749" s="9"/>
      <c r="P749" s="9"/>
      <c r="Q749" s="9"/>
      <c r="R749" s="9"/>
      <c r="S749" s="9"/>
      <c r="T749" s="9"/>
      <c r="U749" s="9"/>
      <c r="V749" s="9"/>
      <c r="W749" s="9"/>
      <c r="X749" s="9"/>
      <c r="Y749" s="9"/>
      <c r="Z749" s="9"/>
      <c r="AA749" s="9"/>
      <c r="AB749" s="9"/>
      <c r="AC749" s="9"/>
      <c r="AD749" s="9"/>
    </row>
    <row r="750" spans="1:30" s="2" customFormat="1" ht="23.25" customHeight="1">
      <c r="A750" s="278"/>
      <c r="B750" s="286" t="s">
        <v>870</v>
      </c>
      <c r="C750" s="280"/>
      <c r="D750" s="280"/>
      <c r="E750" s="280"/>
      <c r="F750" s="282"/>
      <c r="G750" s="282"/>
      <c r="H750" s="282"/>
      <c r="I750" s="283"/>
      <c r="J750" s="284"/>
      <c r="K750" s="43"/>
      <c r="L750" s="43"/>
      <c r="M750" s="43"/>
      <c r="N750" s="9"/>
      <c r="O750" s="9"/>
      <c r="P750" s="9"/>
      <c r="Q750" s="9"/>
      <c r="R750" s="9"/>
      <c r="S750" s="9"/>
      <c r="T750" s="9"/>
      <c r="U750" s="9"/>
      <c r="V750" s="9"/>
      <c r="W750" s="9"/>
      <c r="X750" s="9"/>
      <c r="Y750" s="9"/>
      <c r="Z750" s="9"/>
      <c r="AA750" s="9"/>
      <c r="AB750" s="9"/>
      <c r="AC750" s="9"/>
      <c r="AD750" s="9"/>
    </row>
    <row r="751" spans="1:30" s="53" customFormat="1" ht="22.5" customHeight="1">
      <c r="A751" s="294"/>
      <c r="B751" s="293" t="s">
        <v>747</v>
      </c>
      <c r="C751" s="294">
        <v>1</v>
      </c>
      <c r="D751" s="307">
        <v>3</v>
      </c>
      <c r="E751" s="294">
        <v>1</v>
      </c>
      <c r="F751" s="295">
        <v>17.72</v>
      </c>
      <c r="G751" s="295">
        <v>0.23</v>
      </c>
      <c r="H751" s="295">
        <v>2.65</v>
      </c>
      <c r="I751" s="323">
        <f t="shared" ref="I751:I763" si="33">PRODUCT(C751:H751)</f>
        <v>32.4</v>
      </c>
      <c r="J751" s="294"/>
      <c r="K751" s="54"/>
      <c r="L751" s="54"/>
      <c r="M751" s="54"/>
      <c r="N751" s="54">
        <f>5.55+0.23</f>
        <v>5.78</v>
      </c>
      <c r="O751" s="54">
        <f>2.85+0.23</f>
        <v>3.08</v>
      </c>
      <c r="P751" s="54">
        <f>N751+O751</f>
        <v>8.86</v>
      </c>
      <c r="Q751" s="54">
        <f>P751*2</f>
        <v>17.72</v>
      </c>
      <c r="R751" s="54"/>
      <c r="S751" s="54"/>
      <c r="T751" s="54"/>
      <c r="U751" s="54"/>
      <c r="V751" s="54"/>
      <c r="W751" s="54"/>
      <c r="X751" s="54"/>
      <c r="Y751" s="54"/>
      <c r="Z751" s="54"/>
      <c r="AA751" s="54"/>
      <c r="AB751" s="54"/>
      <c r="AC751" s="54"/>
      <c r="AD751" s="54"/>
    </row>
    <row r="752" spans="1:30" s="65" customFormat="1" ht="23.25" customHeight="1">
      <c r="A752" s="307"/>
      <c r="B752" s="293" t="s">
        <v>346</v>
      </c>
      <c r="C752" s="307">
        <v>1</v>
      </c>
      <c r="D752" s="307">
        <v>1</v>
      </c>
      <c r="E752" s="307">
        <v>1</v>
      </c>
      <c r="F752" s="317">
        <v>2.2770000000000001</v>
      </c>
      <c r="G752" s="295">
        <v>0.23</v>
      </c>
      <c r="H752" s="295">
        <v>2.65</v>
      </c>
      <c r="I752" s="323">
        <f t="shared" si="33"/>
        <v>1.39</v>
      </c>
      <c r="J752" s="294"/>
      <c r="K752" s="54"/>
      <c r="L752" s="54"/>
      <c r="M752" s="54"/>
      <c r="N752" s="80"/>
    </row>
    <row r="753" spans="1:30" s="65" customFormat="1" ht="23.25" customHeight="1">
      <c r="A753" s="307"/>
      <c r="B753" s="293" t="s">
        <v>347</v>
      </c>
      <c r="C753" s="307">
        <v>1</v>
      </c>
      <c r="D753" s="307">
        <v>1</v>
      </c>
      <c r="E753" s="307">
        <v>1</v>
      </c>
      <c r="F753" s="308">
        <v>0.93</v>
      </c>
      <c r="G753" s="295">
        <v>0.23</v>
      </c>
      <c r="H753" s="295">
        <v>2.65</v>
      </c>
      <c r="I753" s="323">
        <f t="shared" si="33"/>
        <v>0.56999999999999995</v>
      </c>
      <c r="J753" s="294"/>
      <c r="K753" s="54"/>
      <c r="L753" s="54"/>
      <c r="M753" s="54"/>
      <c r="N753" s="80"/>
    </row>
    <row r="754" spans="1:30" s="65" customFormat="1" ht="23.25" customHeight="1">
      <c r="A754" s="307"/>
      <c r="B754" s="293" t="s">
        <v>346</v>
      </c>
      <c r="C754" s="307">
        <v>1</v>
      </c>
      <c r="D754" s="307">
        <v>1</v>
      </c>
      <c r="E754" s="307">
        <v>1</v>
      </c>
      <c r="F754" s="317">
        <v>1.7629999999999999</v>
      </c>
      <c r="G754" s="295">
        <v>0.23</v>
      </c>
      <c r="H754" s="295">
        <v>2.65</v>
      </c>
      <c r="I754" s="323">
        <f t="shared" si="33"/>
        <v>1.07</v>
      </c>
      <c r="J754" s="294"/>
      <c r="K754" s="54"/>
      <c r="L754" s="54"/>
      <c r="M754" s="54"/>
      <c r="N754" s="80"/>
    </row>
    <row r="755" spans="1:30" s="65" customFormat="1" ht="23.25" customHeight="1">
      <c r="A755" s="307"/>
      <c r="B755" s="293" t="s">
        <v>345</v>
      </c>
      <c r="C755" s="307">
        <v>1</v>
      </c>
      <c r="D755" s="307">
        <v>1</v>
      </c>
      <c r="E755" s="307">
        <v>1</v>
      </c>
      <c r="F755" s="317">
        <v>2.3719999999999999</v>
      </c>
      <c r="G755" s="295">
        <v>0.23</v>
      </c>
      <c r="H755" s="295">
        <v>2.65</v>
      </c>
      <c r="I755" s="323">
        <f t="shared" si="33"/>
        <v>1.45</v>
      </c>
      <c r="J755" s="294"/>
      <c r="K755" s="54"/>
      <c r="L755" s="54"/>
      <c r="M755" s="54"/>
      <c r="N755" s="80"/>
    </row>
    <row r="756" spans="1:30" s="65" customFormat="1" ht="23.25" customHeight="1">
      <c r="A756" s="307"/>
      <c r="B756" s="293" t="s">
        <v>344</v>
      </c>
      <c r="C756" s="307">
        <v>1</v>
      </c>
      <c r="D756" s="307">
        <v>1</v>
      </c>
      <c r="E756" s="307">
        <v>1</v>
      </c>
      <c r="F756" s="317">
        <v>0.93</v>
      </c>
      <c r="G756" s="295">
        <v>0.23</v>
      </c>
      <c r="H756" s="295">
        <v>2.65</v>
      </c>
      <c r="I756" s="323">
        <f t="shared" si="33"/>
        <v>0.56999999999999995</v>
      </c>
      <c r="J756" s="294"/>
      <c r="K756" s="54"/>
      <c r="L756" s="54"/>
      <c r="M756" s="54"/>
      <c r="N756" s="80"/>
    </row>
    <row r="757" spans="1:30" s="65" customFormat="1" ht="23.25" customHeight="1">
      <c r="A757" s="307"/>
      <c r="B757" s="293" t="s">
        <v>344</v>
      </c>
      <c r="C757" s="307">
        <v>1</v>
      </c>
      <c r="D757" s="307">
        <v>1</v>
      </c>
      <c r="E757" s="307">
        <v>1</v>
      </c>
      <c r="F757" s="317">
        <v>1.9890000000000001</v>
      </c>
      <c r="G757" s="295">
        <v>0.23</v>
      </c>
      <c r="H757" s="295">
        <v>2.65</v>
      </c>
      <c r="I757" s="323">
        <f t="shared" si="33"/>
        <v>1.21</v>
      </c>
      <c r="J757" s="294"/>
      <c r="K757" s="54"/>
      <c r="L757" s="54"/>
      <c r="M757" s="54"/>
      <c r="N757" s="80"/>
    </row>
    <row r="758" spans="1:30" s="65" customFormat="1" ht="23.25" customHeight="1">
      <c r="A758" s="307"/>
      <c r="B758" s="293" t="s">
        <v>343</v>
      </c>
      <c r="C758" s="307">
        <v>1</v>
      </c>
      <c r="D758" s="307">
        <v>1</v>
      </c>
      <c r="E758" s="307">
        <v>1</v>
      </c>
      <c r="F758" s="317">
        <v>2.2669999999999999</v>
      </c>
      <c r="G758" s="295">
        <v>0.23</v>
      </c>
      <c r="H758" s="295">
        <v>2.65</v>
      </c>
      <c r="I758" s="323">
        <f t="shared" si="33"/>
        <v>1.38</v>
      </c>
      <c r="J758" s="294"/>
      <c r="K758" s="54"/>
      <c r="L758" s="54"/>
      <c r="M758" s="54"/>
      <c r="N758" s="80"/>
    </row>
    <row r="759" spans="1:30" s="65" customFormat="1" ht="23.25" customHeight="1">
      <c r="A759" s="307"/>
      <c r="B759" s="293" t="s">
        <v>343</v>
      </c>
      <c r="C759" s="307">
        <v>1</v>
      </c>
      <c r="D759" s="307">
        <v>1</v>
      </c>
      <c r="E759" s="307">
        <v>1</v>
      </c>
      <c r="F759" s="317">
        <v>0.83</v>
      </c>
      <c r="G759" s="295">
        <v>0.23</v>
      </c>
      <c r="H759" s="295">
        <v>2.65</v>
      </c>
      <c r="I759" s="323">
        <f t="shared" si="33"/>
        <v>0.51</v>
      </c>
      <c r="J759" s="294"/>
      <c r="K759" s="54"/>
      <c r="L759" s="54"/>
      <c r="M759" s="54"/>
      <c r="N759" s="80">
        <f>0.995+0.935</f>
        <v>1.93</v>
      </c>
    </row>
    <row r="760" spans="1:30" s="65" customFormat="1" ht="23.25" customHeight="1">
      <c r="A760" s="307"/>
      <c r="B760" s="293" t="s">
        <v>343</v>
      </c>
      <c r="C760" s="307">
        <v>1</v>
      </c>
      <c r="D760" s="307">
        <v>1</v>
      </c>
      <c r="E760" s="307">
        <v>1</v>
      </c>
      <c r="F760" s="317">
        <v>2.0920000000000001</v>
      </c>
      <c r="G760" s="295">
        <v>0.23</v>
      </c>
      <c r="H760" s="295">
        <v>2.65</v>
      </c>
      <c r="I760" s="323">
        <f t="shared" si="33"/>
        <v>1.28</v>
      </c>
      <c r="J760" s="294"/>
      <c r="K760" s="54"/>
      <c r="L760" s="54"/>
      <c r="M760" s="54"/>
      <c r="N760" s="80"/>
    </row>
    <row r="761" spans="1:30" s="53" customFormat="1" ht="22.5" customHeight="1">
      <c r="A761" s="294"/>
      <c r="B761" s="293" t="s">
        <v>746</v>
      </c>
      <c r="C761" s="294">
        <v>-1</v>
      </c>
      <c r="D761" s="307">
        <v>3</v>
      </c>
      <c r="E761" s="294">
        <v>1</v>
      </c>
      <c r="F761" s="295">
        <v>1</v>
      </c>
      <c r="G761" s="295">
        <v>0.23</v>
      </c>
      <c r="H761" s="295">
        <v>2.1</v>
      </c>
      <c r="I761" s="323">
        <f t="shared" si="33"/>
        <v>-1.45</v>
      </c>
      <c r="J761" s="294"/>
      <c r="K761" s="54"/>
      <c r="L761" s="54"/>
      <c r="M761" s="54"/>
      <c r="N761" s="54"/>
      <c r="O761" s="54"/>
      <c r="P761" s="54"/>
      <c r="Q761" s="54"/>
      <c r="R761" s="54"/>
      <c r="S761" s="54"/>
      <c r="T761" s="54"/>
      <c r="U761" s="54"/>
      <c r="V761" s="54"/>
      <c r="W761" s="54"/>
      <c r="X761" s="54"/>
      <c r="Y761" s="54"/>
      <c r="Z761" s="54"/>
      <c r="AA761" s="54"/>
      <c r="AB761" s="54"/>
      <c r="AC761" s="54"/>
      <c r="AD761" s="54"/>
    </row>
    <row r="762" spans="1:30" s="53" customFormat="1" ht="22.5" customHeight="1">
      <c r="A762" s="294"/>
      <c r="B762" s="293" t="s">
        <v>232</v>
      </c>
      <c r="C762" s="294">
        <v>-1</v>
      </c>
      <c r="D762" s="307">
        <v>3</v>
      </c>
      <c r="E762" s="294">
        <v>1</v>
      </c>
      <c r="F762" s="295">
        <v>1.8</v>
      </c>
      <c r="G762" s="295">
        <v>0.23</v>
      </c>
      <c r="H762" s="295">
        <v>1.35</v>
      </c>
      <c r="I762" s="323">
        <f t="shared" si="33"/>
        <v>-1.68</v>
      </c>
      <c r="J762" s="294"/>
      <c r="K762" s="54"/>
      <c r="L762" s="54"/>
      <c r="M762" s="54"/>
      <c r="N762" s="54"/>
      <c r="O762" s="54"/>
      <c r="P762" s="54"/>
      <c r="Q762" s="54"/>
      <c r="R762" s="54"/>
      <c r="S762" s="54"/>
      <c r="T762" s="54"/>
      <c r="U762" s="54"/>
      <c r="V762" s="54"/>
      <c r="W762" s="54"/>
      <c r="X762" s="54"/>
      <c r="Y762" s="54"/>
      <c r="Z762" s="54"/>
      <c r="AA762" s="54"/>
      <c r="AB762" s="54"/>
      <c r="AC762" s="54"/>
      <c r="AD762" s="54"/>
    </row>
    <row r="763" spans="1:30" s="53" customFormat="1" ht="22.5" customHeight="1">
      <c r="A763" s="294"/>
      <c r="B763" s="293" t="s">
        <v>231</v>
      </c>
      <c r="C763" s="294">
        <v>-1</v>
      </c>
      <c r="D763" s="307">
        <v>3</v>
      </c>
      <c r="E763" s="294">
        <v>2</v>
      </c>
      <c r="F763" s="295">
        <v>1.2</v>
      </c>
      <c r="G763" s="295">
        <v>0.23</v>
      </c>
      <c r="H763" s="295">
        <v>1.35</v>
      </c>
      <c r="I763" s="323">
        <f t="shared" si="33"/>
        <v>-2.2400000000000002</v>
      </c>
      <c r="J763" s="294"/>
      <c r="K763" s="54"/>
      <c r="L763" s="54"/>
      <c r="M763" s="54"/>
      <c r="N763" s="54"/>
      <c r="O763" s="54"/>
      <c r="P763" s="54"/>
      <c r="Q763" s="54"/>
      <c r="R763" s="54"/>
      <c r="S763" s="54"/>
      <c r="T763" s="54"/>
      <c r="U763" s="54"/>
      <c r="V763" s="54"/>
      <c r="W763" s="54"/>
      <c r="X763" s="54"/>
      <c r="Y763" s="54"/>
      <c r="Z763" s="54"/>
      <c r="AA763" s="54"/>
      <c r="AB763" s="54"/>
      <c r="AC763" s="54"/>
      <c r="AD763" s="54"/>
    </row>
    <row r="764" spans="1:30" s="53" customFormat="1" ht="21" customHeight="1">
      <c r="A764" s="294"/>
      <c r="B764" s="319" t="s">
        <v>745</v>
      </c>
      <c r="C764" s="319"/>
      <c r="D764" s="307"/>
      <c r="E764" s="294"/>
      <c r="F764" s="295"/>
      <c r="G764" s="295"/>
      <c r="H764" s="295"/>
      <c r="I764" s="323"/>
      <c r="J764" s="294"/>
      <c r="K764" s="54"/>
      <c r="L764" s="54"/>
      <c r="M764" s="54"/>
      <c r="N764" s="54"/>
      <c r="O764" s="54"/>
      <c r="P764" s="54"/>
      <c r="Q764" s="54"/>
      <c r="R764" s="54"/>
      <c r="S764" s="54"/>
      <c r="T764" s="54"/>
      <c r="U764" s="54"/>
      <c r="V764" s="54"/>
      <c r="W764" s="54"/>
      <c r="X764" s="54"/>
      <c r="Y764" s="54"/>
      <c r="Z764" s="54"/>
      <c r="AA764" s="54"/>
      <c r="AB764" s="54"/>
      <c r="AC764" s="54"/>
      <c r="AD764" s="54"/>
    </row>
    <row r="765" spans="1:30" s="53" customFormat="1" ht="21" customHeight="1">
      <c r="A765" s="294"/>
      <c r="B765" s="293" t="s">
        <v>744</v>
      </c>
      <c r="C765" s="294">
        <v>1</v>
      </c>
      <c r="D765" s="307">
        <v>3</v>
      </c>
      <c r="E765" s="294">
        <v>1</v>
      </c>
      <c r="F765" s="295">
        <v>17.72</v>
      </c>
      <c r="G765" s="295">
        <v>0.23</v>
      </c>
      <c r="H765" s="295">
        <v>0.45</v>
      </c>
      <c r="I765" s="323">
        <f t="shared" ref="I765:I774" si="34">PRODUCT(C765:H765)</f>
        <v>5.5</v>
      </c>
      <c r="J765" s="294"/>
      <c r="K765" s="54"/>
      <c r="L765" s="54"/>
      <c r="M765" s="54"/>
      <c r="N765" s="54"/>
      <c r="O765" s="54"/>
      <c r="P765" s="54"/>
      <c r="Q765" s="54"/>
      <c r="R765" s="54"/>
      <c r="S765" s="54"/>
      <c r="T765" s="54"/>
      <c r="U765" s="54"/>
      <c r="V765" s="54"/>
      <c r="W765" s="54"/>
      <c r="X765" s="54"/>
      <c r="Y765" s="54"/>
      <c r="Z765" s="54"/>
      <c r="AA765" s="54"/>
      <c r="AB765" s="54"/>
      <c r="AC765" s="54"/>
      <c r="AD765" s="54"/>
    </row>
    <row r="766" spans="1:30" s="65" customFormat="1" ht="23.25" customHeight="1">
      <c r="A766" s="307"/>
      <c r="B766" s="293" t="s">
        <v>346</v>
      </c>
      <c r="C766" s="307">
        <v>1</v>
      </c>
      <c r="D766" s="307">
        <v>1</v>
      </c>
      <c r="E766" s="307">
        <v>1</v>
      </c>
      <c r="F766" s="317">
        <v>2.2770000000000001</v>
      </c>
      <c r="G766" s="295">
        <v>0.23</v>
      </c>
      <c r="H766" s="295">
        <v>0.45</v>
      </c>
      <c r="I766" s="323">
        <f t="shared" si="34"/>
        <v>0.24</v>
      </c>
      <c r="J766" s="294"/>
      <c r="K766" s="54"/>
      <c r="L766" s="54"/>
      <c r="M766" s="54"/>
      <c r="N766" s="80"/>
    </row>
    <row r="767" spans="1:30" s="65" customFormat="1" ht="23.25" customHeight="1">
      <c r="A767" s="307"/>
      <c r="B767" s="293" t="s">
        <v>347</v>
      </c>
      <c r="C767" s="307">
        <v>1</v>
      </c>
      <c r="D767" s="307">
        <v>1</v>
      </c>
      <c r="E767" s="307">
        <v>1</v>
      </c>
      <c r="F767" s="308">
        <v>0.93</v>
      </c>
      <c r="G767" s="295">
        <v>0.23</v>
      </c>
      <c r="H767" s="295">
        <v>0.45</v>
      </c>
      <c r="I767" s="323">
        <f t="shared" si="34"/>
        <v>0.1</v>
      </c>
      <c r="J767" s="294"/>
      <c r="K767" s="54"/>
      <c r="L767" s="54"/>
      <c r="M767" s="54"/>
      <c r="N767" s="80"/>
    </row>
    <row r="768" spans="1:30" s="65" customFormat="1" ht="23.25" customHeight="1">
      <c r="A768" s="307"/>
      <c r="B768" s="293" t="s">
        <v>346</v>
      </c>
      <c r="C768" s="307">
        <v>1</v>
      </c>
      <c r="D768" s="307">
        <v>1</v>
      </c>
      <c r="E768" s="307">
        <v>1</v>
      </c>
      <c r="F768" s="317">
        <v>1.7629999999999999</v>
      </c>
      <c r="G768" s="295">
        <v>0.23</v>
      </c>
      <c r="H768" s="295">
        <v>0.45</v>
      </c>
      <c r="I768" s="323">
        <f t="shared" si="34"/>
        <v>0.18</v>
      </c>
      <c r="J768" s="294"/>
      <c r="K768" s="54"/>
      <c r="L768" s="54"/>
      <c r="M768" s="54"/>
      <c r="N768" s="80"/>
    </row>
    <row r="769" spans="1:30" s="65" customFormat="1" ht="23.25" customHeight="1">
      <c r="A769" s="307"/>
      <c r="B769" s="293" t="s">
        <v>345</v>
      </c>
      <c r="C769" s="307">
        <v>1</v>
      </c>
      <c r="D769" s="307">
        <v>1</v>
      </c>
      <c r="E769" s="307">
        <v>1</v>
      </c>
      <c r="F769" s="317">
        <v>2.3719999999999999</v>
      </c>
      <c r="G769" s="295">
        <v>0.23</v>
      </c>
      <c r="H769" s="295">
        <v>0.45</v>
      </c>
      <c r="I769" s="323">
        <f t="shared" si="34"/>
        <v>0.25</v>
      </c>
      <c r="J769" s="294"/>
      <c r="K769" s="54"/>
      <c r="L769" s="54"/>
      <c r="M769" s="54"/>
      <c r="N769" s="80"/>
    </row>
    <row r="770" spans="1:30" s="65" customFormat="1" ht="23.25" customHeight="1">
      <c r="A770" s="307"/>
      <c r="B770" s="293" t="s">
        <v>344</v>
      </c>
      <c r="C770" s="307">
        <v>1</v>
      </c>
      <c r="D770" s="307">
        <v>1</v>
      </c>
      <c r="E770" s="307">
        <v>1</v>
      </c>
      <c r="F770" s="317">
        <v>0.93</v>
      </c>
      <c r="G770" s="295">
        <v>0.23</v>
      </c>
      <c r="H770" s="295">
        <v>0.45</v>
      </c>
      <c r="I770" s="323">
        <f t="shared" si="34"/>
        <v>0.1</v>
      </c>
      <c r="J770" s="294"/>
      <c r="K770" s="54"/>
      <c r="L770" s="54"/>
      <c r="M770" s="54"/>
      <c r="N770" s="80"/>
    </row>
    <row r="771" spans="1:30" s="65" customFormat="1" ht="23.25" customHeight="1">
      <c r="A771" s="307"/>
      <c r="B771" s="293" t="s">
        <v>344</v>
      </c>
      <c r="C771" s="307">
        <v>1</v>
      </c>
      <c r="D771" s="307">
        <v>1</v>
      </c>
      <c r="E771" s="307">
        <v>1</v>
      </c>
      <c r="F771" s="317">
        <v>1.9890000000000001</v>
      </c>
      <c r="G771" s="295">
        <v>0.23</v>
      </c>
      <c r="H771" s="295">
        <v>0.45</v>
      </c>
      <c r="I771" s="323">
        <f t="shared" si="34"/>
        <v>0.21</v>
      </c>
      <c r="J771" s="294"/>
      <c r="K771" s="54"/>
      <c r="L771" s="54"/>
      <c r="M771" s="54"/>
      <c r="N771" s="80"/>
    </row>
    <row r="772" spans="1:30" s="65" customFormat="1" ht="23.25" customHeight="1">
      <c r="A772" s="307"/>
      <c r="B772" s="293" t="s">
        <v>343</v>
      </c>
      <c r="C772" s="307">
        <v>1</v>
      </c>
      <c r="D772" s="307">
        <v>1</v>
      </c>
      <c r="E772" s="307">
        <v>1</v>
      </c>
      <c r="F772" s="317">
        <v>2.2669999999999999</v>
      </c>
      <c r="G772" s="295">
        <v>0.23</v>
      </c>
      <c r="H772" s="295">
        <v>0.45</v>
      </c>
      <c r="I772" s="323">
        <f t="shared" si="34"/>
        <v>0.23</v>
      </c>
      <c r="J772" s="294"/>
      <c r="K772" s="54"/>
      <c r="L772" s="54"/>
      <c r="M772" s="54"/>
      <c r="N772" s="80"/>
    </row>
    <row r="773" spans="1:30" s="65" customFormat="1" ht="23.25" customHeight="1">
      <c r="A773" s="307"/>
      <c r="B773" s="293" t="s">
        <v>343</v>
      </c>
      <c r="C773" s="307">
        <v>1</v>
      </c>
      <c r="D773" s="307">
        <v>1</v>
      </c>
      <c r="E773" s="307">
        <v>1</v>
      </c>
      <c r="F773" s="317">
        <v>0.83</v>
      </c>
      <c r="G773" s="295">
        <v>0.23</v>
      </c>
      <c r="H773" s="295">
        <v>0.45</v>
      </c>
      <c r="I773" s="323">
        <f t="shared" si="34"/>
        <v>0.09</v>
      </c>
      <c r="J773" s="294"/>
      <c r="K773" s="54"/>
      <c r="L773" s="54"/>
      <c r="M773" s="54"/>
      <c r="N773" s="80">
        <f>0.995+0.935</f>
        <v>1.93</v>
      </c>
    </row>
    <row r="774" spans="1:30" s="65" customFormat="1" ht="23.25" customHeight="1">
      <c r="A774" s="307"/>
      <c r="B774" s="293" t="s">
        <v>343</v>
      </c>
      <c r="C774" s="307">
        <v>1</v>
      </c>
      <c r="D774" s="307">
        <v>1</v>
      </c>
      <c r="E774" s="307">
        <v>1</v>
      </c>
      <c r="F774" s="317">
        <v>2.0920000000000001</v>
      </c>
      <c r="G774" s="295">
        <v>0.23</v>
      </c>
      <c r="H774" s="295">
        <v>0.45</v>
      </c>
      <c r="I774" s="323">
        <f t="shared" si="34"/>
        <v>0.22</v>
      </c>
      <c r="J774" s="294"/>
      <c r="K774" s="54"/>
      <c r="L774" s="54"/>
      <c r="M774" s="54"/>
      <c r="N774" s="80"/>
    </row>
    <row r="775" spans="1:30" s="142" customFormat="1" ht="22.5" customHeight="1">
      <c r="A775" s="315"/>
      <c r="B775" s="316" t="s">
        <v>743</v>
      </c>
      <c r="C775" s="315"/>
      <c r="D775" s="472"/>
      <c r="E775" s="315"/>
      <c r="F775" s="315"/>
      <c r="G775" s="315"/>
      <c r="H775" s="315"/>
      <c r="I775" s="323"/>
      <c r="J775" s="467"/>
      <c r="K775" s="143"/>
      <c r="L775" s="143"/>
      <c r="M775" s="143"/>
      <c r="N775" s="143"/>
      <c r="O775" s="143"/>
      <c r="P775" s="143"/>
      <c r="Q775" s="143"/>
      <c r="R775" s="143"/>
      <c r="S775" s="143"/>
      <c r="T775" s="143"/>
      <c r="U775" s="143"/>
      <c r="V775" s="143"/>
      <c r="W775" s="143"/>
      <c r="X775" s="143"/>
      <c r="Y775" s="143"/>
      <c r="Z775" s="143"/>
      <c r="AA775" s="143"/>
      <c r="AB775" s="143"/>
      <c r="AC775" s="143"/>
      <c r="AD775" s="143"/>
    </row>
    <row r="776" spans="1:30" s="53" customFormat="1" ht="22.5" customHeight="1">
      <c r="A776" s="294"/>
      <c r="B776" s="293" t="s">
        <v>741</v>
      </c>
      <c r="C776" s="294">
        <v>1</v>
      </c>
      <c r="D776" s="307">
        <v>1</v>
      </c>
      <c r="E776" s="294">
        <v>2</v>
      </c>
      <c r="F776" s="295">
        <v>10.52</v>
      </c>
      <c r="G776" s="295">
        <v>0.23</v>
      </c>
      <c r="H776" s="295">
        <v>1.5</v>
      </c>
      <c r="I776" s="323">
        <f t="shared" ref="I776:I781" si="35">PRODUCT(C776:H776)</f>
        <v>7.26</v>
      </c>
      <c r="J776" s="294"/>
      <c r="K776" s="54"/>
      <c r="L776" s="54"/>
      <c r="M776" s="54"/>
      <c r="N776" s="54">
        <f>2.9+0.23</f>
        <v>3.13</v>
      </c>
      <c r="O776" s="54">
        <f>1.9+0.23</f>
        <v>2.13</v>
      </c>
      <c r="P776" s="54">
        <f>N776+O776</f>
        <v>5.26</v>
      </c>
      <c r="Q776" s="54">
        <f>P776*2</f>
        <v>10.52</v>
      </c>
      <c r="R776" s="54"/>
      <c r="S776" s="54"/>
      <c r="T776" s="54"/>
      <c r="U776" s="54"/>
      <c r="V776" s="54"/>
      <c r="W776" s="54"/>
      <c r="X776" s="54"/>
      <c r="Y776" s="54"/>
      <c r="Z776" s="54"/>
      <c r="AA776" s="54"/>
      <c r="AB776" s="54"/>
      <c r="AC776" s="54"/>
      <c r="AD776" s="54"/>
    </row>
    <row r="777" spans="1:30" s="53" customFormat="1" ht="22.5" customHeight="1">
      <c r="A777" s="294"/>
      <c r="B777" s="293" t="s">
        <v>740</v>
      </c>
      <c r="C777" s="294">
        <v>1</v>
      </c>
      <c r="D777" s="307">
        <v>1</v>
      </c>
      <c r="E777" s="294">
        <v>1</v>
      </c>
      <c r="F777" s="295">
        <v>11.52</v>
      </c>
      <c r="G777" s="295">
        <v>0.23</v>
      </c>
      <c r="H777" s="295">
        <v>1.5</v>
      </c>
      <c r="I777" s="323">
        <f t="shared" si="35"/>
        <v>3.97</v>
      </c>
      <c r="J777" s="294"/>
      <c r="K777" s="54"/>
      <c r="L777" s="54"/>
      <c r="M777" s="54"/>
      <c r="N777" s="54">
        <f>2.3+0.23</f>
        <v>2.5299999999999998</v>
      </c>
      <c r="O777" s="54">
        <f>3+0.23</f>
        <v>3.23</v>
      </c>
      <c r="P777" s="54">
        <f>N777+O777</f>
        <v>5.76</v>
      </c>
      <c r="Q777" s="54">
        <f>P777*2</f>
        <v>11.52</v>
      </c>
      <c r="R777" s="54"/>
      <c r="S777" s="54"/>
      <c r="T777" s="54"/>
      <c r="U777" s="54"/>
      <c r="V777" s="54"/>
      <c r="W777" s="54"/>
      <c r="X777" s="54"/>
      <c r="Y777" s="54"/>
      <c r="Z777" s="54"/>
      <c r="AA777" s="54"/>
      <c r="AB777" s="54"/>
      <c r="AC777" s="54"/>
      <c r="AD777" s="54"/>
    </row>
    <row r="778" spans="1:30" s="53" customFormat="1" ht="22.5" customHeight="1">
      <c r="A778" s="294"/>
      <c r="B778" s="293" t="s">
        <v>139</v>
      </c>
      <c r="C778" s="294">
        <v>-1</v>
      </c>
      <c r="D778" s="307">
        <v>1</v>
      </c>
      <c r="E778" s="294">
        <v>3</v>
      </c>
      <c r="F778" s="295">
        <v>0.6</v>
      </c>
      <c r="G778" s="295">
        <v>0.23</v>
      </c>
      <c r="H778" s="295">
        <v>0.6</v>
      </c>
      <c r="I778" s="323">
        <f t="shared" si="35"/>
        <v>-0.25</v>
      </c>
      <c r="J778" s="294"/>
      <c r="K778" s="54"/>
      <c r="L778" s="54"/>
      <c r="M778" s="54"/>
      <c r="N778" s="54"/>
      <c r="O778" s="54"/>
      <c r="P778" s="54"/>
      <c r="Q778" s="54"/>
      <c r="R778" s="54"/>
      <c r="S778" s="54"/>
      <c r="T778" s="54"/>
      <c r="U778" s="54"/>
      <c r="V778" s="54"/>
      <c r="W778" s="54"/>
      <c r="X778" s="54"/>
      <c r="Y778" s="54"/>
      <c r="Z778" s="54"/>
      <c r="AA778" s="54"/>
      <c r="AB778" s="54"/>
      <c r="AC778" s="54"/>
      <c r="AD778" s="54"/>
    </row>
    <row r="779" spans="1:30" s="142" customFormat="1" ht="22.5" customHeight="1">
      <c r="A779" s="467"/>
      <c r="B779" s="319" t="s">
        <v>742</v>
      </c>
      <c r="C779" s="467"/>
      <c r="D779" s="472"/>
      <c r="E779" s="467"/>
      <c r="F779" s="469"/>
      <c r="G779" s="469"/>
      <c r="H779" s="469"/>
      <c r="I779" s="323">
        <f t="shared" si="35"/>
        <v>0</v>
      </c>
      <c r="J779" s="467"/>
      <c r="K779" s="143"/>
      <c r="L779" s="143"/>
      <c r="M779" s="143"/>
      <c r="N779" s="143"/>
      <c r="O779" s="143"/>
      <c r="P779" s="143"/>
      <c r="Q779" s="143"/>
      <c r="R779" s="143"/>
      <c r="S779" s="143"/>
      <c r="T779" s="143"/>
      <c r="U779" s="143"/>
      <c r="V779" s="143"/>
      <c r="W779" s="143"/>
      <c r="X779" s="143"/>
      <c r="Y779" s="143"/>
      <c r="Z779" s="143"/>
      <c r="AA779" s="143"/>
      <c r="AB779" s="143"/>
      <c r="AC779" s="143"/>
      <c r="AD779" s="143"/>
    </row>
    <row r="780" spans="1:30" s="142" customFormat="1" ht="22.5" customHeight="1">
      <c r="A780" s="467"/>
      <c r="B780" s="293" t="s">
        <v>741</v>
      </c>
      <c r="C780" s="294">
        <v>1</v>
      </c>
      <c r="D780" s="307">
        <v>1</v>
      </c>
      <c r="E780" s="294">
        <v>2</v>
      </c>
      <c r="F780" s="295">
        <v>10.52</v>
      </c>
      <c r="G780" s="295">
        <v>0.23</v>
      </c>
      <c r="H780" s="295">
        <v>0.45</v>
      </c>
      <c r="I780" s="323">
        <f t="shared" si="35"/>
        <v>2.1800000000000002</v>
      </c>
      <c r="J780" s="467"/>
      <c r="K780" s="143"/>
      <c r="L780" s="143"/>
      <c r="M780" s="143"/>
      <c r="N780" s="143"/>
      <c r="O780" s="143"/>
      <c r="P780" s="143"/>
      <c r="Q780" s="143"/>
      <c r="R780" s="143"/>
      <c r="S780" s="143"/>
      <c r="T780" s="143"/>
      <c r="U780" s="143"/>
      <c r="V780" s="143"/>
      <c r="W780" s="143"/>
      <c r="X780" s="143"/>
      <c r="Y780" s="143"/>
      <c r="Z780" s="143"/>
      <c r="AA780" s="143"/>
      <c r="AB780" s="143"/>
      <c r="AC780" s="143"/>
      <c r="AD780" s="143"/>
    </row>
    <row r="781" spans="1:30" s="142" customFormat="1" ht="22.5" customHeight="1">
      <c r="A781" s="467"/>
      <c r="B781" s="293" t="s">
        <v>740</v>
      </c>
      <c r="C781" s="294">
        <v>1</v>
      </c>
      <c r="D781" s="307">
        <v>1</v>
      </c>
      <c r="E781" s="294">
        <v>1</v>
      </c>
      <c r="F781" s="295">
        <v>11.52</v>
      </c>
      <c r="G781" s="295">
        <v>0.23</v>
      </c>
      <c r="H781" s="295">
        <v>0.45</v>
      </c>
      <c r="I781" s="323">
        <f t="shared" si="35"/>
        <v>1.19</v>
      </c>
      <c r="J781" s="467"/>
      <c r="K781" s="143"/>
      <c r="L781" s="143"/>
      <c r="M781" s="143"/>
      <c r="N781" s="143"/>
      <c r="O781" s="143"/>
      <c r="P781" s="143"/>
      <c r="Q781" s="143"/>
      <c r="R781" s="143"/>
      <c r="S781" s="143"/>
      <c r="T781" s="143"/>
      <c r="U781" s="143"/>
      <c r="V781" s="143"/>
      <c r="W781" s="143"/>
      <c r="X781" s="143"/>
      <c r="Y781" s="143"/>
      <c r="Z781" s="143"/>
      <c r="AA781" s="143"/>
      <c r="AB781" s="143"/>
      <c r="AC781" s="143"/>
      <c r="AD781" s="143"/>
    </row>
    <row r="782" spans="1:30" s="142" customFormat="1" ht="22.5" customHeight="1">
      <c r="A782" s="467"/>
      <c r="B782" s="319" t="s">
        <v>739</v>
      </c>
      <c r="C782" s="294"/>
      <c r="D782" s="307"/>
      <c r="E782" s="294"/>
      <c r="F782" s="295"/>
      <c r="G782" s="295"/>
      <c r="H782" s="295"/>
      <c r="I782" s="323"/>
      <c r="J782" s="467"/>
      <c r="K782" s="143"/>
      <c r="L782" s="143"/>
      <c r="M782" s="143"/>
      <c r="N782" s="143"/>
      <c r="O782" s="143"/>
      <c r="P782" s="143"/>
      <c r="Q782" s="143"/>
      <c r="R782" s="143"/>
      <c r="S782" s="143"/>
      <c r="T782" s="143"/>
      <c r="U782" s="143"/>
      <c r="V782" s="143"/>
      <c r="W782" s="143"/>
      <c r="X782" s="143"/>
      <c r="Y782" s="143"/>
      <c r="Z782" s="143"/>
      <c r="AA782" s="143"/>
      <c r="AB782" s="143"/>
      <c r="AC782" s="143"/>
      <c r="AD782" s="143"/>
    </row>
    <row r="783" spans="1:30" s="142" customFormat="1" ht="22.5" customHeight="1">
      <c r="A783" s="467"/>
      <c r="B783" s="293" t="s">
        <v>711</v>
      </c>
      <c r="C783" s="294">
        <v>1</v>
      </c>
      <c r="D783" s="307">
        <v>1</v>
      </c>
      <c r="E783" s="294">
        <v>1</v>
      </c>
      <c r="F783" s="295">
        <v>17.72</v>
      </c>
      <c r="G783" s="295">
        <v>0.23</v>
      </c>
      <c r="H783" s="295">
        <v>0.45</v>
      </c>
      <c r="I783" s="323">
        <f>PRODUCT(C783:H783)</f>
        <v>1.83</v>
      </c>
      <c r="J783" s="467"/>
      <c r="K783" s="143"/>
      <c r="L783" s="143"/>
      <c r="M783" s="143"/>
      <c r="N783" s="143">
        <f>5.55+0.23</f>
        <v>5.78</v>
      </c>
      <c r="O783" s="143">
        <f>2.85+0.23</f>
        <v>3.08</v>
      </c>
      <c r="P783" s="143">
        <f>N783+O783</f>
        <v>8.86</v>
      </c>
      <c r="Q783" s="143">
        <f>P783*2</f>
        <v>17.72</v>
      </c>
      <c r="R783" s="143"/>
      <c r="S783" s="143"/>
      <c r="T783" s="143"/>
      <c r="U783" s="143"/>
      <c r="V783" s="143"/>
      <c r="W783" s="143"/>
      <c r="X783" s="143"/>
      <c r="Y783" s="143"/>
      <c r="Z783" s="143"/>
      <c r="AA783" s="143"/>
      <c r="AB783" s="143"/>
      <c r="AC783" s="143"/>
      <c r="AD783" s="143"/>
    </row>
    <row r="784" spans="1:30" s="16" customFormat="1" ht="21" customHeight="1">
      <c r="A784" s="473"/>
      <c r="B784" s="474"/>
      <c r="C784" s="475"/>
      <c r="D784" s="475"/>
      <c r="E784" s="475"/>
      <c r="F784" s="476"/>
      <c r="G784" s="476"/>
      <c r="H784" s="282"/>
      <c r="I784" s="416">
        <f>SUM(I751:I783)</f>
        <v>59.76</v>
      </c>
      <c r="J784" s="284" t="s">
        <v>21</v>
      </c>
      <c r="K784" s="43"/>
      <c r="L784" s="43"/>
      <c r="M784" s="43"/>
      <c r="N784" s="17"/>
      <c r="O784" s="17"/>
      <c r="P784" s="17"/>
      <c r="Q784" s="17"/>
      <c r="R784" s="17"/>
      <c r="S784" s="17"/>
      <c r="T784" s="17"/>
      <c r="U784" s="17"/>
      <c r="V784" s="17"/>
      <c r="W784" s="17"/>
      <c r="X784" s="17"/>
      <c r="Y784" s="17"/>
      <c r="Z784" s="17"/>
      <c r="AA784" s="17"/>
      <c r="AB784" s="17"/>
      <c r="AC784" s="17"/>
      <c r="AD784" s="17"/>
    </row>
    <row r="785" spans="1:30" s="16" customFormat="1" ht="21" customHeight="1">
      <c r="A785" s="473"/>
      <c r="B785" s="474"/>
      <c r="C785" s="475"/>
      <c r="D785" s="475"/>
      <c r="E785" s="475"/>
      <c r="F785" s="476"/>
      <c r="G785" s="476"/>
      <c r="H785" s="415" t="s">
        <v>55</v>
      </c>
      <c r="I785" s="416">
        <f>ROUNDUP(I784,0)</f>
        <v>60</v>
      </c>
      <c r="J785" s="287" t="s">
        <v>21</v>
      </c>
      <c r="K785" s="42"/>
      <c r="L785" s="42"/>
      <c r="M785" s="42"/>
      <c r="N785" s="17"/>
      <c r="O785" s="17"/>
      <c r="P785" s="17"/>
      <c r="Q785" s="17"/>
      <c r="R785" s="17"/>
      <c r="S785" s="17"/>
      <c r="T785" s="17"/>
      <c r="U785" s="17"/>
      <c r="V785" s="17"/>
      <c r="W785" s="17"/>
      <c r="X785" s="17"/>
      <c r="Y785" s="17"/>
      <c r="Z785" s="17"/>
      <c r="AA785" s="17"/>
      <c r="AB785" s="17"/>
      <c r="AC785" s="17"/>
      <c r="AD785" s="17"/>
    </row>
    <row r="786" spans="1:30" s="2" customFormat="1" ht="33.75" customHeight="1">
      <c r="A786" s="288">
        <v>10.199999999999999</v>
      </c>
      <c r="B786" s="286" t="s">
        <v>738</v>
      </c>
      <c r="C786" s="280"/>
      <c r="D786" s="280"/>
      <c r="E786" s="280"/>
      <c r="F786" s="282"/>
      <c r="G786" s="282"/>
      <c r="H786" s="282"/>
      <c r="I786" s="283"/>
      <c r="J786" s="284"/>
      <c r="K786" s="43"/>
      <c r="L786" s="43"/>
      <c r="M786" s="43"/>
      <c r="N786" s="9"/>
      <c r="O786" s="9"/>
      <c r="P786" s="9"/>
      <c r="Q786" s="9"/>
      <c r="R786" s="9"/>
      <c r="S786" s="9"/>
      <c r="T786" s="9"/>
      <c r="U786" s="9"/>
      <c r="V786" s="9"/>
      <c r="W786" s="9"/>
      <c r="X786" s="9"/>
      <c r="Y786" s="9"/>
      <c r="Z786" s="9"/>
      <c r="AA786" s="9"/>
      <c r="AB786" s="9"/>
      <c r="AC786" s="9"/>
      <c r="AD786" s="9"/>
    </row>
    <row r="787" spans="1:30" s="2" customFormat="1" ht="23.25" customHeight="1">
      <c r="A787" s="278"/>
      <c r="B787" s="286" t="s">
        <v>737</v>
      </c>
      <c r="C787" s="280"/>
      <c r="D787" s="280"/>
      <c r="E787" s="280"/>
      <c r="F787" s="282"/>
      <c r="G787" s="282"/>
      <c r="H787" s="282"/>
      <c r="I787" s="283"/>
      <c r="J787" s="284"/>
      <c r="K787" s="43"/>
      <c r="L787" s="43"/>
      <c r="M787" s="43"/>
      <c r="N787" s="9"/>
      <c r="O787" s="9"/>
      <c r="P787" s="9"/>
      <c r="Q787" s="9"/>
      <c r="R787" s="9"/>
      <c r="S787" s="9"/>
      <c r="T787" s="9"/>
      <c r="U787" s="9"/>
      <c r="V787" s="9"/>
      <c r="W787" s="9"/>
      <c r="X787" s="9"/>
      <c r="Y787" s="9"/>
      <c r="Z787" s="9"/>
      <c r="AA787" s="9"/>
      <c r="AB787" s="9"/>
      <c r="AC787" s="9"/>
      <c r="AD787" s="9"/>
    </row>
    <row r="788" spans="1:30" s="71" customFormat="1" ht="20.25" customHeight="1">
      <c r="A788" s="294"/>
      <c r="B788" s="297" t="s">
        <v>736</v>
      </c>
      <c r="C788" s="294">
        <v>1</v>
      </c>
      <c r="D788" s="294">
        <v>1</v>
      </c>
      <c r="E788" s="294">
        <v>1</v>
      </c>
      <c r="F788" s="300">
        <v>1.3149999999999999</v>
      </c>
      <c r="G788" s="346"/>
      <c r="H788" s="300">
        <v>2.65</v>
      </c>
      <c r="I788" s="283">
        <f t="shared" ref="I788:I797" si="36">PRODUCT(C788:H788)</f>
        <v>3.48</v>
      </c>
      <c r="J788" s="303"/>
      <c r="K788" s="72"/>
      <c r="L788" s="72"/>
      <c r="M788" s="72"/>
      <c r="N788" s="72"/>
      <c r="O788" s="72"/>
      <c r="P788" s="72"/>
      <c r="Q788" s="72"/>
      <c r="R788" s="72"/>
      <c r="S788" s="72"/>
      <c r="T788" s="72"/>
      <c r="U788" s="72"/>
      <c r="V788" s="72"/>
      <c r="W788" s="72"/>
      <c r="X788" s="72"/>
      <c r="Y788" s="72"/>
      <c r="Z788" s="72"/>
      <c r="AA788" s="72"/>
      <c r="AB788" s="72"/>
      <c r="AC788" s="72"/>
      <c r="AD788" s="72"/>
    </row>
    <row r="789" spans="1:30" s="71" customFormat="1" ht="20.25" customHeight="1">
      <c r="A789" s="294"/>
      <c r="B789" s="297" t="s">
        <v>735</v>
      </c>
      <c r="C789" s="294">
        <v>1</v>
      </c>
      <c r="D789" s="294">
        <v>1</v>
      </c>
      <c r="E789" s="294">
        <v>1</v>
      </c>
      <c r="F789" s="300">
        <v>3.165</v>
      </c>
      <c r="G789" s="346"/>
      <c r="H789" s="300">
        <v>2.65</v>
      </c>
      <c r="I789" s="283">
        <f t="shared" si="36"/>
        <v>8.39</v>
      </c>
      <c r="J789" s="303"/>
      <c r="K789" s="72"/>
      <c r="L789" s="72"/>
      <c r="M789" s="72"/>
      <c r="N789" s="72"/>
      <c r="O789" s="72"/>
      <c r="P789" s="72"/>
      <c r="Q789" s="72"/>
      <c r="R789" s="72"/>
      <c r="S789" s="72"/>
      <c r="T789" s="72"/>
      <c r="U789" s="72"/>
      <c r="V789" s="72"/>
      <c r="W789" s="72"/>
      <c r="X789" s="72"/>
      <c r="Y789" s="72"/>
      <c r="Z789" s="72"/>
      <c r="AA789" s="72"/>
      <c r="AB789" s="72"/>
      <c r="AC789" s="72"/>
      <c r="AD789" s="72"/>
    </row>
    <row r="790" spans="1:30" s="71" customFormat="1" ht="25.5" customHeight="1">
      <c r="A790" s="294"/>
      <c r="B790" s="297" t="s">
        <v>120</v>
      </c>
      <c r="C790" s="294">
        <v>-1</v>
      </c>
      <c r="D790" s="294">
        <v>1</v>
      </c>
      <c r="E790" s="294">
        <v>1</v>
      </c>
      <c r="F790" s="300">
        <v>1</v>
      </c>
      <c r="G790" s="346"/>
      <c r="H790" s="300">
        <v>2.1</v>
      </c>
      <c r="I790" s="283">
        <f t="shared" si="36"/>
        <v>-2.1</v>
      </c>
      <c r="J790" s="303"/>
      <c r="K790" s="72"/>
      <c r="L790" s="72"/>
      <c r="M790" s="72"/>
      <c r="N790" s="72"/>
      <c r="O790" s="72"/>
      <c r="P790" s="72"/>
      <c r="Q790" s="72"/>
      <c r="R790" s="72"/>
      <c r="S790" s="72"/>
      <c r="T790" s="72"/>
      <c r="U790" s="72"/>
      <c r="V790" s="72"/>
      <c r="W790" s="72"/>
      <c r="X790" s="72"/>
      <c r="Y790" s="72"/>
      <c r="Z790" s="72"/>
      <c r="AA790" s="72"/>
      <c r="AB790" s="72"/>
      <c r="AC790" s="72"/>
      <c r="AD790" s="72"/>
    </row>
    <row r="791" spans="1:30" s="71" customFormat="1" ht="25.5" customHeight="1">
      <c r="A791" s="294"/>
      <c r="B791" s="297" t="s">
        <v>70</v>
      </c>
      <c r="C791" s="294">
        <v>-1</v>
      </c>
      <c r="D791" s="294">
        <v>1</v>
      </c>
      <c r="E791" s="294">
        <v>1</v>
      </c>
      <c r="F791" s="300">
        <v>0.75</v>
      </c>
      <c r="G791" s="346"/>
      <c r="H791" s="300">
        <v>2.1</v>
      </c>
      <c r="I791" s="283">
        <f t="shared" si="36"/>
        <v>-1.58</v>
      </c>
      <c r="J791" s="303"/>
      <c r="K791" s="72"/>
      <c r="L791" s="72"/>
      <c r="M791" s="72"/>
      <c r="N791" s="72"/>
      <c r="O791" s="72"/>
      <c r="P791" s="72"/>
      <c r="Q791" s="72"/>
      <c r="R791" s="72"/>
      <c r="S791" s="72"/>
      <c r="T791" s="72"/>
      <c r="U791" s="72"/>
      <c r="V791" s="72"/>
      <c r="W791" s="72"/>
      <c r="X791" s="72"/>
      <c r="Y791" s="72"/>
      <c r="Z791" s="72"/>
      <c r="AA791" s="72"/>
      <c r="AB791" s="72"/>
      <c r="AC791" s="72"/>
      <c r="AD791" s="72"/>
    </row>
    <row r="792" spans="1:30" s="71" customFormat="1" ht="25.5" customHeight="1">
      <c r="A792" s="294"/>
      <c r="B792" s="297" t="s">
        <v>734</v>
      </c>
      <c r="C792" s="294">
        <v>1</v>
      </c>
      <c r="D792" s="294">
        <v>1</v>
      </c>
      <c r="E792" s="294">
        <v>1</v>
      </c>
      <c r="F792" s="300">
        <v>3.3849999999999998</v>
      </c>
      <c r="G792" s="346"/>
      <c r="H792" s="300">
        <v>2.4500000000000002</v>
      </c>
      <c r="I792" s="283">
        <f t="shared" si="36"/>
        <v>8.2899999999999991</v>
      </c>
      <c r="J792" s="303"/>
      <c r="K792" s="72"/>
      <c r="L792" s="72"/>
      <c r="M792" s="72"/>
      <c r="N792" s="72"/>
      <c r="O792" s="72"/>
      <c r="P792" s="72"/>
      <c r="Q792" s="72"/>
      <c r="R792" s="72"/>
      <c r="S792" s="72"/>
      <c r="T792" s="72"/>
      <c r="U792" s="72"/>
      <c r="V792" s="72"/>
      <c r="W792" s="72"/>
      <c r="X792" s="72"/>
      <c r="Y792" s="72"/>
      <c r="Z792" s="72"/>
      <c r="AA792" s="72"/>
      <c r="AB792" s="72"/>
      <c r="AC792" s="72"/>
      <c r="AD792" s="72"/>
    </row>
    <row r="793" spans="1:30" s="71" customFormat="1" ht="25.5" customHeight="1">
      <c r="A793" s="294"/>
      <c r="B793" s="297" t="s">
        <v>733</v>
      </c>
      <c r="C793" s="294">
        <v>1</v>
      </c>
      <c r="D793" s="294">
        <v>1</v>
      </c>
      <c r="E793" s="294">
        <v>1</v>
      </c>
      <c r="F793" s="300">
        <v>1.3149999999999999</v>
      </c>
      <c r="G793" s="346"/>
      <c r="H793" s="300">
        <v>2.4500000000000002</v>
      </c>
      <c r="I793" s="283">
        <f t="shared" si="36"/>
        <v>3.22</v>
      </c>
      <c r="J793" s="303"/>
      <c r="K793" s="72"/>
      <c r="L793" s="72"/>
      <c r="M793" s="72"/>
      <c r="N793" s="72"/>
      <c r="O793" s="72"/>
      <c r="P793" s="72"/>
      <c r="Q793" s="72"/>
      <c r="R793" s="72"/>
      <c r="S793" s="72"/>
      <c r="T793" s="72"/>
      <c r="U793" s="72"/>
      <c r="V793" s="72"/>
      <c r="W793" s="72"/>
      <c r="X793" s="72"/>
      <c r="Y793" s="72"/>
      <c r="Z793" s="72"/>
      <c r="AA793" s="72"/>
      <c r="AB793" s="72"/>
      <c r="AC793" s="72"/>
      <c r="AD793" s="72"/>
    </row>
    <row r="794" spans="1:30" s="140" customFormat="1" ht="25.5" customHeight="1">
      <c r="A794" s="467"/>
      <c r="B794" s="297" t="s">
        <v>70</v>
      </c>
      <c r="C794" s="294">
        <v>-1</v>
      </c>
      <c r="D794" s="294">
        <v>1</v>
      </c>
      <c r="E794" s="294">
        <v>1</v>
      </c>
      <c r="F794" s="300">
        <v>0.75</v>
      </c>
      <c r="G794" s="346"/>
      <c r="H794" s="300">
        <v>2.1</v>
      </c>
      <c r="I794" s="283">
        <f t="shared" si="36"/>
        <v>-1.58</v>
      </c>
      <c r="J794" s="470"/>
      <c r="K794" s="141"/>
      <c r="L794" s="141"/>
      <c r="M794" s="141"/>
      <c r="N794" s="141"/>
      <c r="O794" s="141"/>
      <c r="P794" s="141"/>
      <c r="Q794" s="141"/>
      <c r="R794" s="141"/>
      <c r="S794" s="141"/>
      <c r="T794" s="141"/>
      <c r="U794" s="141"/>
      <c r="V794" s="141"/>
      <c r="W794" s="141"/>
      <c r="X794" s="141"/>
      <c r="Y794" s="141"/>
      <c r="Z794" s="141"/>
      <c r="AA794" s="141"/>
      <c r="AB794" s="141"/>
      <c r="AC794" s="141"/>
      <c r="AD794" s="141"/>
    </row>
    <row r="795" spans="1:30" s="71" customFormat="1" ht="25.5" customHeight="1">
      <c r="A795" s="294"/>
      <c r="B795" s="297" t="s">
        <v>718</v>
      </c>
      <c r="C795" s="294">
        <v>1</v>
      </c>
      <c r="D795" s="294">
        <v>1</v>
      </c>
      <c r="E795" s="294">
        <v>2</v>
      </c>
      <c r="F795" s="300">
        <v>1.8</v>
      </c>
      <c r="G795" s="346"/>
      <c r="H795" s="300">
        <v>2.4500000000000002</v>
      </c>
      <c r="I795" s="283">
        <f t="shared" si="36"/>
        <v>8.82</v>
      </c>
      <c r="J795" s="303"/>
      <c r="K795" s="72"/>
      <c r="L795" s="72"/>
      <c r="M795" s="72"/>
      <c r="N795" s="72"/>
      <c r="O795" s="72"/>
      <c r="P795" s="72"/>
      <c r="Q795" s="72"/>
      <c r="R795" s="72"/>
      <c r="S795" s="72"/>
      <c r="T795" s="72"/>
      <c r="U795" s="72"/>
      <c r="V795" s="72"/>
      <c r="W795" s="72"/>
      <c r="X795" s="72"/>
      <c r="Y795" s="72"/>
      <c r="Z795" s="72"/>
      <c r="AA795" s="72"/>
      <c r="AB795" s="72"/>
      <c r="AC795" s="72"/>
      <c r="AD795" s="72"/>
    </row>
    <row r="796" spans="1:30" s="71" customFormat="1" ht="25.5" customHeight="1">
      <c r="A796" s="294"/>
      <c r="B796" s="297" t="s">
        <v>717</v>
      </c>
      <c r="C796" s="294">
        <v>1</v>
      </c>
      <c r="D796" s="294">
        <v>1</v>
      </c>
      <c r="E796" s="294">
        <v>2</v>
      </c>
      <c r="F796" s="300">
        <v>1.1499999999999999</v>
      </c>
      <c r="G796" s="346"/>
      <c r="H796" s="300">
        <v>2.4500000000000002</v>
      </c>
      <c r="I796" s="283">
        <f t="shared" si="36"/>
        <v>5.64</v>
      </c>
      <c r="J796" s="303"/>
      <c r="K796" s="72"/>
      <c r="L796" s="72"/>
      <c r="M796" s="72"/>
      <c r="N796" s="72"/>
      <c r="O796" s="72"/>
      <c r="P796" s="72"/>
      <c r="Q796" s="72"/>
      <c r="R796" s="72"/>
      <c r="S796" s="72"/>
      <c r="T796" s="72"/>
      <c r="U796" s="72"/>
      <c r="V796" s="72"/>
      <c r="W796" s="72"/>
      <c r="X796" s="72"/>
      <c r="Y796" s="72"/>
      <c r="Z796" s="72"/>
      <c r="AA796" s="72"/>
      <c r="AB796" s="72"/>
      <c r="AC796" s="72"/>
      <c r="AD796" s="72"/>
    </row>
    <row r="797" spans="1:30" s="71" customFormat="1" ht="25.5" customHeight="1">
      <c r="A797" s="294"/>
      <c r="B797" s="297" t="s">
        <v>732</v>
      </c>
      <c r="C797" s="294">
        <v>-1</v>
      </c>
      <c r="D797" s="294">
        <v>1</v>
      </c>
      <c r="E797" s="294">
        <v>1</v>
      </c>
      <c r="F797" s="300">
        <v>1</v>
      </c>
      <c r="G797" s="346"/>
      <c r="H797" s="300">
        <v>2.1</v>
      </c>
      <c r="I797" s="283">
        <f t="shared" si="36"/>
        <v>-2.1</v>
      </c>
      <c r="J797" s="303"/>
      <c r="K797" s="72"/>
      <c r="L797" s="72"/>
      <c r="M797" s="72"/>
      <c r="N797" s="72"/>
      <c r="O797" s="72"/>
      <c r="P797" s="72"/>
      <c r="Q797" s="72"/>
      <c r="R797" s="72"/>
      <c r="S797" s="72"/>
      <c r="T797" s="72"/>
      <c r="U797" s="72"/>
      <c r="V797" s="72"/>
      <c r="W797" s="72"/>
      <c r="X797" s="72"/>
      <c r="Y797" s="72"/>
      <c r="Z797" s="72"/>
      <c r="AA797" s="72"/>
      <c r="AB797" s="72"/>
      <c r="AC797" s="72"/>
      <c r="AD797" s="72"/>
    </row>
    <row r="798" spans="1:30" s="2" customFormat="1" ht="19.5" customHeight="1">
      <c r="A798" s="278"/>
      <c r="B798" s="279"/>
      <c r="C798" s="280"/>
      <c r="D798" s="280"/>
      <c r="E798" s="280"/>
      <c r="F798" s="282"/>
      <c r="G798" s="282"/>
      <c r="H798" s="282"/>
      <c r="I798" s="416">
        <f>SUM(I788:I797)</f>
        <v>30.48</v>
      </c>
      <c r="J798" s="284" t="s">
        <v>4</v>
      </c>
      <c r="K798" s="43"/>
      <c r="L798" s="43"/>
      <c r="M798" s="43"/>
      <c r="N798" s="9"/>
      <c r="O798" s="9"/>
      <c r="P798" s="9"/>
      <c r="Q798" s="9"/>
      <c r="R798" s="9"/>
      <c r="S798" s="9"/>
      <c r="T798" s="9"/>
      <c r="U798" s="9"/>
      <c r="V798" s="9"/>
      <c r="W798" s="9"/>
      <c r="X798" s="9"/>
      <c r="Y798" s="9"/>
      <c r="Z798" s="9"/>
      <c r="AA798" s="9"/>
      <c r="AB798" s="9"/>
      <c r="AC798" s="9"/>
      <c r="AD798" s="9"/>
    </row>
    <row r="799" spans="1:30" s="2" customFormat="1" ht="19.5" customHeight="1">
      <c r="A799" s="278"/>
      <c r="B799" s="279"/>
      <c r="C799" s="280"/>
      <c r="D799" s="280"/>
      <c r="E799" s="280"/>
      <c r="F799" s="282"/>
      <c r="G799" s="282"/>
      <c r="H799" s="415" t="s">
        <v>55</v>
      </c>
      <c r="I799" s="416">
        <f>ROUNDUP(I798,0)</f>
        <v>31</v>
      </c>
      <c r="J799" s="287" t="s">
        <v>4</v>
      </c>
      <c r="K799" s="42"/>
      <c r="L799" s="42"/>
      <c r="M799" s="42"/>
      <c r="N799" s="9"/>
      <c r="O799" s="9"/>
      <c r="P799" s="9"/>
      <c r="Q799" s="9"/>
      <c r="R799" s="9"/>
      <c r="S799" s="9"/>
      <c r="T799" s="9"/>
      <c r="U799" s="9"/>
      <c r="V799" s="9"/>
      <c r="W799" s="9"/>
      <c r="X799" s="9"/>
      <c r="Y799" s="9"/>
      <c r="Z799" s="9"/>
      <c r="AA799" s="9"/>
      <c r="AB799" s="9"/>
      <c r="AC799" s="9"/>
      <c r="AD799" s="9"/>
    </row>
    <row r="800" spans="1:30" s="33" customFormat="1" ht="18" customHeight="1">
      <c r="A800" s="278"/>
      <c r="B800" s="286" t="s">
        <v>731</v>
      </c>
      <c r="C800" s="280"/>
      <c r="D800" s="280"/>
      <c r="E800" s="280"/>
      <c r="F800" s="282"/>
      <c r="G800" s="282"/>
      <c r="H800" s="282"/>
      <c r="I800" s="283"/>
      <c r="J800" s="284"/>
      <c r="K800" s="43"/>
      <c r="L800" s="43"/>
      <c r="M800" s="43"/>
      <c r="N800" s="34"/>
      <c r="O800" s="34"/>
      <c r="P800" s="34"/>
      <c r="Q800" s="34"/>
      <c r="R800" s="34"/>
      <c r="S800" s="34"/>
      <c r="T800" s="34"/>
      <c r="U800" s="34"/>
      <c r="V800" s="34"/>
      <c r="W800" s="34"/>
      <c r="X800" s="34"/>
      <c r="Y800" s="34"/>
      <c r="Z800" s="34"/>
      <c r="AA800" s="34"/>
      <c r="AB800" s="34"/>
      <c r="AC800" s="34"/>
      <c r="AD800" s="34"/>
    </row>
    <row r="801" spans="1:30" s="71" customFormat="1" ht="21.75" customHeight="1">
      <c r="A801" s="294"/>
      <c r="B801" s="297" t="s">
        <v>729</v>
      </c>
      <c r="C801" s="294">
        <v>10</v>
      </c>
      <c r="D801" s="294">
        <v>1</v>
      </c>
      <c r="E801" s="294">
        <v>1</v>
      </c>
      <c r="F801" s="294">
        <v>3.35</v>
      </c>
      <c r="G801" s="294"/>
      <c r="H801" s="295">
        <v>2.1</v>
      </c>
      <c r="I801" s="298">
        <f t="shared" ref="I801:I826" si="37">PRODUCT(C801:H801)</f>
        <v>70.349999999999994</v>
      </c>
      <c r="J801" s="477"/>
      <c r="K801" s="139"/>
      <c r="L801" s="139"/>
      <c r="M801" s="139"/>
      <c r="N801" s="72"/>
      <c r="O801" s="72"/>
      <c r="P801" s="72"/>
      <c r="Q801" s="72"/>
      <c r="R801" s="72"/>
      <c r="S801" s="72"/>
      <c r="T801" s="72"/>
      <c r="U801" s="72"/>
      <c r="V801" s="72"/>
      <c r="W801" s="72"/>
      <c r="X801" s="72"/>
      <c r="Y801" s="72"/>
      <c r="Z801" s="72"/>
      <c r="AA801" s="72"/>
      <c r="AB801" s="72"/>
      <c r="AC801" s="72"/>
      <c r="AD801" s="72"/>
    </row>
    <row r="802" spans="1:30" s="71" customFormat="1" ht="21.75" customHeight="1">
      <c r="A802" s="294"/>
      <c r="B802" s="297" t="s">
        <v>728</v>
      </c>
      <c r="C802" s="294">
        <v>-10</v>
      </c>
      <c r="D802" s="294">
        <v>1</v>
      </c>
      <c r="E802" s="294">
        <v>1</v>
      </c>
      <c r="F802" s="294">
        <v>0.115</v>
      </c>
      <c r="G802" s="294"/>
      <c r="H802" s="295">
        <v>2.1</v>
      </c>
      <c r="I802" s="298">
        <f t="shared" si="37"/>
        <v>-2.42</v>
      </c>
      <c r="J802" s="477"/>
      <c r="K802" s="139"/>
      <c r="L802" s="139"/>
      <c r="M802" s="139"/>
      <c r="N802" s="72"/>
      <c r="O802" s="72"/>
      <c r="P802" s="72"/>
      <c r="Q802" s="72"/>
      <c r="R802" s="72"/>
      <c r="S802" s="72"/>
      <c r="T802" s="72"/>
      <c r="U802" s="72"/>
      <c r="V802" s="72"/>
      <c r="W802" s="72"/>
      <c r="X802" s="72"/>
      <c r="Y802" s="72"/>
      <c r="Z802" s="72"/>
      <c r="AA802" s="72"/>
      <c r="AB802" s="72"/>
      <c r="AC802" s="72"/>
      <c r="AD802" s="72"/>
    </row>
    <row r="803" spans="1:30" s="71" customFormat="1" ht="21.75" customHeight="1">
      <c r="A803" s="294"/>
      <c r="B803" s="297" t="s">
        <v>97</v>
      </c>
      <c r="C803" s="294">
        <v>-10</v>
      </c>
      <c r="D803" s="294">
        <v>1</v>
      </c>
      <c r="E803" s="294">
        <v>1</v>
      </c>
      <c r="F803" s="295">
        <v>0.9</v>
      </c>
      <c r="G803" s="294"/>
      <c r="H803" s="295">
        <v>2.1</v>
      </c>
      <c r="I803" s="298">
        <f t="shared" si="37"/>
        <v>-18.899999999999999</v>
      </c>
      <c r="J803" s="477"/>
      <c r="K803" s="139"/>
      <c r="L803" s="139"/>
      <c r="M803" s="139"/>
      <c r="N803" s="72"/>
      <c r="O803" s="72"/>
      <c r="P803" s="72"/>
      <c r="Q803" s="72"/>
      <c r="R803" s="72"/>
      <c r="S803" s="72"/>
      <c r="T803" s="72"/>
      <c r="U803" s="72"/>
      <c r="V803" s="72"/>
      <c r="W803" s="72"/>
      <c r="X803" s="72"/>
      <c r="Y803" s="72"/>
      <c r="Z803" s="72"/>
      <c r="AA803" s="72"/>
      <c r="AB803" s="72"/>
      <c r="AC803" s="72"/>
      <c r="AD803" s="72"/>
    </row>
    <row r="804" spans="1:30" s="71" customFormat="1" ht="32.25" customHeight="1">
      <c r="A804" s="294"/>
      <c r="B804" s="478" t="s">
        <v>727</v>
      </c>
      <c r="C804" s="294">
        <v>10</v>
      </c>
      <c r="D804" s="294">
        <v>1</v>
      </c>
      <c r="E804" s="294">
        <v>1</v>
      </c>
      <c r="F804" s="294">
        <v>3.35</v>
      </c>
      <c r="G804" s="294"/>
      <c r="H804" s="295">
        <v>2.1</v>
      </c>
      <c r="I804" s="298">
        <f t="shared" si="37"/>
        <v>70.349999999999994</v>
      </c>
      <c r="J804" s="477"/>
      <c r="K804" s="139"/>
      <c r="L804" s="139"/>
      <c r="M804" s="139"/>
      <c r="N804" s="72"/>
      <c r="O804" s="72"/>
      <c r="P804" s="72"/>
      <c r="Q804" s="72"/>
      <c r="R804" s="72"/>
      <c r="S804" s="72"/>
      <c r="T804" s="72"/>
      <c r="U804" s="72"/>
      <c r="V804" s="72"/>
      <c r="W804" s="72"/>
      <c r="X804" s="72"/>
      <c r="Y804" s="72"/>
      <c r="Z804" s="72"/>
      <c r="AA804" s="72"/>
      <c r="AB804" s="72"/>
      <c r="AC804" s="72"/>
      <c r="AD804" s="72"/>
    </row>
    <row r="805" spans="1:30" s="71" customFormat="1" ht="21.75" customHeight="1">
      <c r="A805" s="294"/>
      <c r="B805" s="297" t="s">
        <v>97</v>
      </c>
      <c r="C805" s="294">
        <v>-10</v>
      </c>
      <c r="D805" s="294">
        <v>1</v>
      </c>
      <c r="E805" s="294">
        <v>1</v>
      </c>
      <c r="F805" s="295">
        <v>0.9</v>
      </c>
      <c r="G805" s="294"/>
      <c r="H805" s="295">
        <v>2.1</v>
      </c>
      <c r="I805" s="298">
        <f t="shared" si="37"/>
        <v>-18.899999999999999</v>
      </c>
      <c r="J805" s="477"/>
      <c r="K805" s="139"/>
      <c r="L805" s="139"/>
      <c r="M805" s="139"/>
      <c r="N805" s="72"/>
      <c r="O805" s="72"/>
      <c r="P805" s="72"/>
      <c r="Q805" s="72"/>
      <c r="R805" s="72"/>
      <c r="S805" s="72"/>
      <c r="T805" s="72"/>
      <c r="U805" s="72"/>
      <c r="V805" s="72"/>
      <c r="W805" s="72"/>
      <c r="X805" s="72"/>
      <c r="Y805" s="72"/>
      <c r="Z805" s="72"/>
      <c r="AA805" s="72"/>
      <c r="AB805" s="72"/>
      <c r="AC805" s="72"/>
      <c r="AD805" s="72"/>
    </row>
    <row r="806" spans="1:30" s="71" customFormat="1" ht="21.75" customHeight="1">
      <c r="A806" s="294"/>
      <c r="B806" s="293" t="s">
        <v>726</v>
      </c>
      <c r="C806" s="294">
        <v>10</v>
      </c>
      <c r="D806" s="294">
        <v>1</v>
      </c>
      <c r="E806" s="294">
        <v>1</v>
      </c>
      <c r="F806" s="294">
        <v>3.6</v>
      </c>
      <c r="G806" s="294"/>
      <c r="H806" s="295">
        <v>2.1</v>
      </c>
      <c r="I806" s="298">
        <f t="shared" si="37"/>
        <v>75.599999999999994</v>
      </c>
      <c r="J806" s="477"/>
      <c r="K806" s="139"/>
      <c r="L806" s="139"/>
      <c r="M806" s="139"/>
      <c r="N806" s="72"/>
      <c r="O806" s="72"/>
      <c r="P806" s="72"/>
      <c r="Q806" s="72"/>
      <c r="R806" s="72"/>
      <c r="S806" s="72"/>
      <c r="T806" s="72"/>
      <c r="U806" s="72"/>
      <c r="V806" s="72"/>
      <c r="W806" s="72"/>
      <c r="X806" s="72"/>
      <c r="Y806" s="72"/>
      <c r="Z806" s="72"/>
      <c r="AA806" s="72"/>
      <c r="AB806" s="72"/>
      <c r="AC806" s="72"/>
      <c r="AD806" s="72"/>
    </row>
    <row r="807" spans="1:30" s="71" customFormat="1" ht="21.75" customHeight="1">
      <c r="A807" s="294"/>
      <c r="B807" s="297" t="s">
        <v>102</v>
      </c>
      <c r="C807" s="294">
        <v>-10</v>
      </c>
      <c r="D807" s="294">
        <v>1</v>
      </c>
      <c r="E807" s="294">
        <v>1</v>
      </c>
      <c r="F807" s="294">
        <v>0.75</v>
      </c>
      <c r="G807" s="294"/>
      <c r="H807" s="295">
        <v>2.1</v>
      </c>
      <c r="I807" s="298">
        <f t="shared" si="37"/>
        <v>-15.75</v>
      </c>
      <c r="J807" s="477"/>
      <c r="K807" s="139"/>
      <c r="L807" s="139"/>
      <c r="M807" s="139"/>
      <c r="N807" s="72"/>
      <c r="O807" s="72"/>
      <c r="P807" s="72"/>
      <c r="Q807" s="72"/>
      <c r="R807" s="72"/>
      <c r="S807" s="72"/>
      <c r="T807" s="72"/>
      <c r="U807" s="72"/>
      <c r="V807" s="72"/>
      <c r="W807" s="72"/>
      <c r="X807" s="72"/>
      <c r="Y807" s="72"/>
      <c r="Z807" s="72"/>
      <c r="AA807" s="72"/>
      <c r="AB807" s="72"/>
      <c r="AC807" s="72"/>
      <c r="AD807" s="72"/>
    </row>
    <row r="808" spans="1:30" s="71" customFormat="1" ht="21.75" customHeight="1">
      <c r="A808" s="294"/>
      <c r="B808" s="297" t="s">
        <v>725</v>
      </c>
      <c r="C808" s="294">
        <v>10</v>
      </c>
      <c r="D808" s="294">
        <v>1</v>
      </c>
      <c r="E808" s="294">
        <v>1</v>
      </c>
      <c r="F808" s="295">
        <v>1.2</v>
      </c>
      <c r="G808" s="294"/>
      <c r="H808" s="295">
        <v>0.35</v>
      </c>
      <c r="I808" s="298">
        <f t="shared" si="37"/>
        <v>4.2</v>
      </c>
      <c r="J808" s="477"/>
      <c r="K808" s="139"/>
      <c r="L808" s="139"/>
      <c r="M808" s="139"/>
      <c r="N808" s="72"/>
      <c r="O808" s="72"/>
      <c r="P808" s="72"/>
      <c r="Q808" s="72"/>
      <c r="R808" s="72"/>
      <c r="S808" s="72"/>
      <c r="T808" s="72"/>
      <c r="U808" s="72"/>
      <c r="V808" s="72"/>
      <c r="W808" s="72"/>
      <c r="X808" s="72"/>
      <c r="Y808" s="72"/>
      <c r="Z808" s="72"/>
      <c r="AA808" s="72"/>
      <c r="AB808" s="72"/>
      <c r="AC808" s="72"/>
      <c r="AD808" s="72"/>
    </row>
    <row r="809" spans="1:30" s="71" customFormat="1" ht="21.75" customHeight="1">
      <c r="A809" s="294"/>
      <c r="B809" s="293" t="s">
        <v>724</v>
      </c>
      <c r="C809" s="294">
        <v>10</v>
      </c>
      <c r="D809" s="294">
        <v>1</v>
      </c>
      <c r="E809" s="294">
        <v>1</v>
      </c>
      <c r="F809" s="300">
        <v>2.2850000000000001</v>
      </c>
      <c r="G809" s="294"/>
      <c r="H809" s="294">
        <v>2.65</v>
      </c>
      <c r="I809" s="298">
        <f t="shared" si="37"/>
        <v>60.55</v>
      </c>
      <c r="J809" s="477"/>
      <c r="K809" s="139"/>
      <c r="L809" s="139"/>
      <c r="M809" s="139"/>
      <c r="N809" s="72"/>
      <c r="O809" s="72"/>
      <c r="P809" s="72"/>
      <c r="Q809" s="72"/>
      <c r="R809" s="72"/>
      <c r="S809" s="72"/>
      <c r="T809" s="72"/>
      <c r="U809" s="72"/>
      <c r="V809" s="72"/>
      <c r="W809" s="72"/>
      <c r="X809" s="72"/>
      <c r="Y809" s="72"/>
      <c r="Z809" s="72"/>
      <c r="AA809" s="72"/>
      <c r="AB809" s="72"/>
      <c r="AC809" s="72"/>
      <c r="AD809" s="72"/>
    </row>
    <row r="810" spans="1:30" s="71" customFormat="1" ht="21.75" customHeight="1">
      <c r="A810" s="294"/>
      <c r="B810" s="297" t="s">
        <v>723</v>
      </c>
      <c r="C810" s="294">
        <v>10</v>
      </c>
      <c r="D810" s="294">
        <v>1</v>
      </c>
      <c r="E810" s="294">
        <v>1</v>
      </c>
      <c r="F810" s="295">
        <v>2.8</v>
      </c>
      <c r="G810" s="295"/>
      <c r="H810" s="295">
        <v>2.1</v>
      </c>
      <c r="I810" s="298">
        <f t="shared" si="37"/>
        <v>58.8</v>
      </c>
      <c r="J810" s="477"/>
      <c r="K810" s="139"/>
      <c r="L810" s="139"/>
      <c r="M810" s="139"/>
      <c r="N810" s="72"/>
      <c r="O810" s="72"/>
      <c r="P810" s="72"/>
      <c r="Q810" s="72"/>
      <c r="R810" s="72"/>
      <c r="S810" s="72"/>
      <c r="T810" s="72"/>
      <c r="U810" s="72"/>
      <c r="V810" s="72"/>
      <c r="W810" s="72"/>
      <c r="X810" s="72"/>
      <c r="Y810" s="72"/>
      <c r="Z810" s="72"/>
      <c r="AA810" s="72"/>
      <c r="AB810" s="72"/>
      <c r="AC810" s="72"/>
      <c r="AD810" s="72"/>
    </row>
    <row r="811" spans="1:30" s="71" customFormat="1" ht="21.75" customHeight="1">
      <c r="A811" s="294"/>
      <c r="B811" s="297" t="s">
        <v>358</v>
      </c>
      <c r="C811" s="294">
        <v>-10</v>
      </c>
      <c r="D811" s="294">
        <v>1</v>
      </c>
      <c r="E811" s="294">
        <v>1</v>
      </c>
      <c r="F811" s="295">
        <v>0.9</v>
      </c>
      <c r="G811" s="294"/>
      <c r="H811" s="295">
        <v>2.1</v>
      </c>
      <c r="I811" s="298">
        <f t="shared" si="37"/>
        <v>-18.899999999999999</v>
      </c>
      <c r="J811" s="477"/>
      <c r="K811" s="139"/>
      <c r="L811" s="139"/>
      <c r="M811" s="139"/>
      <c r="N811" s="72"/>
      <c r="O811" s="72"/>
      <c r="P811" s="72"/>
      <c r="Q811" s="72"/>
      <c r="R811" s="72"/>
      <c r="S811" s="72"/>
      <c r="T811" s="72"/>
      <c r="U811" s="72"/>
      <c r="V811" s="72"/>
      <c r="W811" s="72"/>
      <c r="X811" s="72"/>
      <c r="Y811" s="72"/>
      <c r="Z811" s="72"/>
      <c r="AA811" s="72"/>
      <c r="AB811" s="72"/>
      <c r="AC811" s="72"/>
      <c r="AD811" s="72"/>
    </row>
    <row r="812" spans="1:30" s="71" customFormat="1" ht="21.75" customHeight="1">
      <c r="A812" s="294"/>
      <c r="B812" s="297" t="s">
        <v>722</v>
      </c>
      <c r="C812" s="294">
        <v>10</v>
      </c>
      <c r="D812" s="294">
        <v>1</v>
      </c>
      <c r="E812" s="294">
        <v>1</v>
      </c>
      <c r="F812" s="300">
        <v>2.3149999999999999</v>
      </c>
      <c r="G812" s="294"/>
      <c r="H812" s="294">
        <v>2.375</v>
      </c>
      <c r="I812" s="298">
        <f t="shared" si="37"/>
        <v>54.98</v>
      </c>
      <c r="J812" s="477"/>
      <c r="K812" s="139"/>
      <c r="L812" s="139"/>
      <c r="M812" s="139"/>
      <c r="N812" s="72"/>
      <c r="O812" s="72"/>
      <c r="P812" s="72"/>
      <c r="Q812" s="72"/>
      <c r="R812" s="72"/>
      <c r="S812" s="72"/>
      <c r="T812" s="72"/>
      <c r="U812" s="72"/>
      <c r="V812" s="72"/>
      <c r="W812" s="72"/>
      <c r="X812" s="72"/>
      <c r="Y812" s="72"/>
      <c r="Z812" s="72"/>
      <c r="AA812" s="72"/>
      <c r="AB812" s="72"/>
      <c r="AC812" s="72"/>
      <c r="AD812" s="72"/>
    </row>
    <row r="813" spans="1:30" s="137" customFormat="1" ht="21.75" customHeight="1">
      <c r="A813" s="294"/>
      <c r="B813" s="297" t="s">
        <v>721</v>
      </c>
      <c r="C813" s="294">
        <v>10</v>
      </c>
      <c r="D813" s="294">
        <v>1</v>
      </c>
      <c r="E813" s="294">
        <v>1</v>
      </c>
      <c r="F813" s="300">
        <v>3.3149999999999999</v>
      </c>
      <c r="G813" s="294"/>
      <c r="H813" s="294">
        <v>2.375</v>
      </c>
      <c r="I813" s="298">
        <f t="shared" si="37"/>
        <v>78.73</v>
      </c>
      <c r="J813" s="479"/>
      <c r="K813" s="138"/>
      <c r="L813" s="138"/>
      <c r="M813" s="138"/>
      <c r="N813" s="136"/>
      <c r="O813" s="136"/>
      <c r="P813" s="136"/>
      <c r="Q813" s="136"/>
      <c r="R813" s="136"/>
      <c r="S813" s="136"/>
      <c r="T813" s="136"/>
      <c r="U813" s="136"/>
      <c r="V813" s="136"/>
      <c r="W813" s="136"/>
      <c r="X813" s="136"/>
      <c r="Y813" s="136"/>
      <c r="Z813" s="136"/>
      <c r="AA813" s="136"/>
      <c r="AB813" s="136"/>
      <c r="AC813" s="136"/>
      <c r="AD813" s="136"/>
    </row>
    <row r="814" spans="1:30" s="137" customFormat="1" ht="21.75" customHeight="1">
      <c r="A814" s="294"/>
      <c r="B814" s="297" t="s">
        <v>720</v>
      </c>
      <c r="C814" s="294">
        <v>10</v>
      </c>
      <c r="D814" s="294">
        <v>1</v>
      </c>
      <c r="E814" s="294">
        <v>1</v>
      </c>
      <c r="F814" s="295">
        <v>1.2</v>
      </c>
      <c r="G814" s="294"/>
      <c r="H814" s="294">
        <v>2.375</v>
      </c>
      <c r="I814" s="298">
        <f t="shared" si="37"/>
        <v>28.5</v>
      </c>
      <c r="J814" s="479"/>
      <c r="K814" s="138"/>
      <c r="L814" s="138"/>
      <c r="M814" s="138"/>
      <c r="N814" s="136"/>
      <c r="O814" s="136"/>
      <c r="P814" s="136"/>
      <c r="Q814" s="136"/>
      <c r="R814" s="136"/>
      <c r="S814" s="136"/>
      <c r="T814" s="136"/>
      <c r="U814" s="136"/>
      <c r="V814" s="136"/>
      <c r="W814" s="136"/>
      <c r="X814" s="136"/>
      <c r="Y814" s="136"/>
      <c r="Z814" s="136"/>
      <c r="AA814" s="136"/>
      <c r="AB814" s="136"/>
      <c r="AC814" s="136"/>
      <c r="AD814" s="136"/>
    </row>
    <row r="815" spans="1:30" s="137" customFormat="1" ht="21.75" customHeight="1">
      <c r="A815" s="294"/>
      <c r="B815" s="297" t="s">
        <v>70</v>
      </c>
      <c r="C815" s="294">
        <v>-10</v>
      </c>
      <c r="D815" s="294">
        <v>1</v>
      </c>
      <c r="E815" s="294">
        <v>1</v>
      </c>
      <c r="F815" s="300">
        <v>0.75</v>
      </c>
      <c r="G815" s="294"/>
      <c r="H815" s="295">
        <v>2.1</v>
      </c>
      <c r="I815" s="298">
        <f t="shared" si="37"/>
        <v>-15.75</v>
      </c>
      <c r="J815" s="479"/>
      <c r="K815" s="138"/>
      <c r="L815" s="138"/>
      <c r="M815" s="138"/>
      <c r="N815" s="136"/>
      <c r="O815" s="136"/>
      <c r="P815" s="136"/>
      <c r="Q815" s="136"/>
      <c r="R815" s="136"/>
      <c r="S815" s="136"/>
      <c r="T815" s="136"/>
      <c r="U815" s="136"/>
      <c r="V815" s="136"/>
      <c r="W815" s="136"/>
      <c r="X815" s="136"/>
      <c r="Y815" s="136"/>
      <c r="Z815" s="136"/>
      <c r="AA815" s="136"/>
      <c r="AB815" s="136"/>
      <c r="AC815" s="136"/>
      <c r="AD815" s="136"/>
    </row>
    <row r="816" spans="1:30" s="137" customFormat="1" ht="21.75" customHeight="1">
      <c r="A816" s="294"/>
      <c r="B816" s="297" t="s">
        <v>719</v>
      </c>
      <c r="C816" s="294">
        <v>10</v>
      </c>
      <c r="D816" s="294">
        <v>1</v>
      </c>
      <c r="E816" s="294">
        <v>1</v>
      </c>
      <c r="F816" s="300">
        <v>1.5</v>
      </c>
      <c r="G816" s="294"/>
      <c r="H816" s="294">
        <v>2.65</v>
      </c>
      <c r="I816" s="298">
        <f t="shared" si="37"/>
        <v>39.75</v>
      </c>
      <c r="J816" s="479"/>
      <c r="K816" s="138"/>
      <c r="L816" s="138"/>
      <c r="M816" s="138"/>
      <c r="N816" s="136"/>
      <c r="O816" s="136"/>
      <c r="P816" s="136"/>
      <c r="Q816" s="136"/>
      <c r="R816" s="136"/>
      <c r="S816" s="136"/>
      <c r="T816" s="136"/>
      <c r="U816" s="136"/>
      <c r="V816" s="136"/>
      <c r="W816" s="136"/>
      <c r="X816" s="136"/>
      <c r="Y816" s="136"/>
      <c r="Z816" s="136"/>
      <c r="AA816" s="136"/>
      <c r="AB816" s="136"/>
      <c r="AC816" s="136"/>
      <c r="AD816" s="136"/>
    </row>
    <row r="817" spans="1:30" s="137" customFormat="1" ht="21.75" customHeight="1">
      <c r="A817" s="294"/>
      <c r="B817" s="297" t="s">
        <v>140</v>
      </c>
      <c r="C817" s="294">
        <v>-10</v>
      </c>
      <c r="D817" s="294">
        <v>1</v>
      </c>
      <c r="E817" s="294">
        <v>1</v>
      </c>
      <c r="F817" s="300">
        <v>1</v>
      </c>
      <c r="G817" s="294"/>
      <c r="H817" s="295">
        <v>2.1</v>
      </c>
      <c r="I817" s="298">
        <f t="shared" si="37"/>
        <v>-21</v>
      </c>
      <c r="J817" s="479"/>
      <c r="K817" s="138"/>
      <c r="L817" s="138"/>
      <c r="M817" s="138"/>
      <c r="N817" s="136"/>
      <c r="O817" s="136"/>
      <c r="P817" s="136"/>
      <c r="Q817" s="136"/>
      <c r="R817" s="136"/>
      <c r="S817" s="136"/>
      <c r="T817" s="136"/>
      <c r="U817" s="136"/>
      <c r="V817" s="136"/>
      <c r="W817" s="136"/>
      <c r="X817" s="136"/>
      <c r="Y817" s="136"/>
      <c r="Z817" s="136"/>
      <c r="AA817" s="136"/>
      <c r="AB817" s="136"/>
      <c r="AC817" s="136"/>
      <c r="AD817" s="136"/>
    </row>
    <row r="818" spans="1:30" s="71" customFormat="1" ht="25.5" customHeight="1">
      <c r="A818" s="294"/>
      <c r="B818" s="297" t="s">
        <v>718</v>
      </c>
      <c r="C818" s="294">
        <v>1</v>
      </c>
      <c r="D818" s="294">
        <v>1</v>
      </c>
      <c r="E818" s="294">
        <v>2</v>
      </c>
      <c r="F818" s="300">
        <v>2.83</v>
      </c>
      <c r="G818" s="346"/>
      <c r="H818" s="300">
        <v>2.65</v>
      </c>
      <c r="I818" s="298">
        <f t="shared" si="37"/>
        <v>15</v>
      </c>
      <c r="J818" s="303"/>
      <c r="K818" s="72"/>
      <c r="L818" s="72"/>
      <c r="M818" s="72"/>
      <c r="N818" s="72"/>
      <c r="O818" s="72"/>
      <c r="P818" s="72"/>
      <c r="Q818" s="72"/>
      <c r="R818" s="72"/>
      <c r="S818" s="72"/>
      <c r="T818" s="72"/>
      <c r="U818" s="72"/>
      <c r="V818" s="72"/>
      <c r="W818" s="72"/>
      <c r="X818" s="72"/>
      <c r="Y818" s="72"/>
      <c r="Z818" s="72"/>
      <c r="AA818" s="72"/>
      <c r="AB818" s="72"/>
      <c r="AC818" s="72"/>
      <c r="AD818" s="72"/>
    </row>
    <row r="819" spans="1:30" s="71" customFormat="1" ht="25.5" customHeight="1">
      <c r="A819" s="294"/>
      <c r="B819" s="297" t="s">
        <v>717</v>
      </c>
      <c r="C819" s="294">
        <v>1</v>
      </c>
      <c r="D819" s="294">
        <v>1</v>
      </c>
      <c r="E819" s="294">
        <v>2</v>
      </c>
      <c r="F819" s="300">
        <v>1.1499999999999999</v>
      </c>
      <c r="G819" s="346"/>
      <c r="H819" s="300">
        <v>2.65</v>
      </c>
      <c r="I819" s="298">
        <f t="shared" si="37"/>
        <v>6.1</v>
      </c>
      <c r="J819" s="303"/>
      <c r="K819" s="72"/>
      <c r="L819" s="72"/>
      <c r="M819" s="72"/>
      <c r="N819" s="72"/>
      <c r="O819" s="72"/>
      <c r="P819" s="72"/>
      <c r="Q819" s="72"/>
      <c r="R819" s="72"/>
      <c r="S819" s="72"/>
      <c r="T819" s="72"/>
      <c r="U819" s="72"/>
      <c r="V819" s="72"/>
      <c r="W819" s="72"/>
      <c r="X819" s="72"/>
      <c r="Y819" s="72"/>
      <c r="Z819" s="72"/>
      <c r="AA819" s="72"/>
      <c r="AB819" s="72"/>
      <c r="AC819" s="72"/>
      <c r="AD819" s="72"/>
    </row>
    <row r="820" spans="1:30" s="71" customFormat="1" ht="25.5" customHeight="1">
      <c r="A820" s="294"/>
      <c r="B820" s="297" t="s">
        <v>140</v>
      </c>
      <c r="C820" s="294">
        <v>-1</v>
      </c>
      <c r="D820" s="294">
        <v>1</v>
      </c>
      <c r="E820" s="294">
        <v>1</v>
      </c>
      <c r="F820" s="300">
        <v>1</v>
      </c>
      <c r="G820" s="346"/>
      <c r="H820" s="300">
        <v>2.1</v>
      </c>
      <c r="I820" s="298">
        <f t="shared" si="37"/>
        <v>-2.1</v>
      </c>
      <c r="J820" s="303"/>
      <c r="K820" s="72"/>
      <c r="L820" s="72"/>
      <c r="M820" s="72"/>
      <c r="N820" s="72"/>
      <c r="O820" s="72"/>
      <c r="P820" s="72"/>
      <c r="Q820" s="72"/>
      <c r="R820" s="72"/>
      <c r="S820" s="72"/>
      <c r="T820" s="72"/>
      <c r="U820" s="72"/>
      <c r="V820" s="72"/>
      <c r="W820" s="72"/>
      <c r="X820" s="72"/>
      <c r="Y820" s="72"/>
      <c r="Z820" s="72"/>
      <c r="AA820" s="72"/>
      <c r="AB820" s="72"/>
      <c r="AC820" s="72"/>
      <c r="AD820" s="72"/>
    </row>
    <row r="821" spans="1:30" s="71" customFormat="1" ht="21.75" customHeight="1">
      <c r="A821" s="294"/>
      <c r="B821" s="297" t="s">
        <v>716</v>
      </c>
      <c r="C821" s="294">
        <v>10</v>
      </c>
      <c r="D821" s="294">
        <v>1</v>
      </c>
      <c r="E821" s="294">
        <v>1</v>
      </c>
      <c r="F821" s="295">
        <v>0.6</v>
      </c>
      <c r="G821" s="294"/>
      <c r="H821" s="294">
        <v>0.75</v>
      </c>
      <c r="I821" s="298">
        <f t="shared" si="37"/>
        <v>4.5</v>
      </c>
      <c r="J821" s="303"/>
      <c r="K821" s="72"/>
      <c r="L821" s="72"/>
      <c r="M821" s="72"/>
      <c r="N821" s="72"/>
      <c r="O821" s="72"/>
      <c r="P821" s="72"/>
      <c r="Q821" s="72"/>
      <c r="R821" s="72"/>
      <c r="S821" s="72"/>
      <c r="T821" s="72"/>
      <c r="U821" s="72"/>
      <c r="V821" s="72"/>
      <c r="W821" s="72"/>
      <c r="X821" s="72"/>
      <c r="Y821" s="72"/>
      <c r="Z821" s="72"/>
      <c r="AA821" s="72"/>
      <c r="AB821" s="72"/>
      <c r="AC821" s="72"/>
      <c r="AD821" s="72"/>
    </row>
    <row r="822" spans="1:30" s="71" customFormat="1" ht="21.75" customHeight="1">
      <c r="A822" s="294"/>
      <c r="B822" s="293" t="s">
        <v>715</v>
      </c>
      <c r="C822" s="294">
        <v>10</v>
      </c>
      <c r="D822" s="294">
        <v>1</v>
      </c>
      <c r="E822" s="294">
        <v>1</v>
      </c>
      <c r="F822" s="295">
        <v>0.55000000000000004</v>
      </c>
      <c r="G822" s="294"/>
      <c r="H822" s="294">
        <v>0.75</v>
      </c>
      <c r="I822" s="298">
        <f t="shared" si="37"/>
        <v>4.13</v>
      </c>
      <c r="J822" s="303"/>
      <c r="K822" s="72"/>
      <c r="L822" s="72"/>
      <c r="M822" s="72"/>
      <c r="N822" s="72"/>
      <c r="O822" s="72"/>
      <c r="P822" s="72"/>
      <c r="Q822" s="72"/>
      <c r="R822" s="72"/>
      <c r="S822" s="72"/>
      <c r="T822" s="72"/>
      <c r="U822" s="72"/>
      <c r="V822" s="72"/>
      <c r="W822" s="72"/>
      <c r="X822" s="72"/>
      <c r="Y822" s="72"/>
      <c r="Z822" s="72"/>
      <c r="AA822" s="72"/>
      <c r="AB822" s="72"/>
      <c r="AC822" s="72"/>
      <c r="AD822" s="72"/>
    </row>
    <row r="823" spans="1:30" s="71" customFormat="1" ht="21.75" customHeight="1">
      <c r="A823" s="294"/>
      <c r="B823" s="293" t="s">
        <v>715</v>
      </c>
      <c r="C823" s="294">
        <v>10</v>
      </c>
      <c r="D823" s="294">
        <v>1</v>
      </c>
      <c r="E823" s="294">
        <v>1</v>
      </c>
      <c r="F823" s="294">
        <v>0.55000000000000004</v>
      </c>
      <c r="G823" s="294"/>
      <c r="H823" s="294">
        <v>0.75</v>
      </c>
      <c r="I823" s="298">
        <f t="shared" si="37"/>
        <v>4.13</v>
      </c>
      <c r="J823" s="303"/>
      <c r="K823" s="72"/>
      <c r="L823" s="72"/>
      <c r="M823" s="72"/>
      <c r="N823" s="72"/>
      <c r="O823" s="72"/>
      <c r="P823" s="72"/>
      <c r="Q823" s="72"/>
      <c r="R823" s="72"/>
      <c r="S823" s="72"/>
      <c r="T823" s="72"/>
      <c r="U823" s="72"/>
      <c r="V823" s="72"/>
      <c r="W823" s="72"/>
      <c r="X823" s="72"/>
      <c r="Y823" s="72"/>
      <c r="Z823" s="72"/>
      <c r="AA823" s="72"/>
      <c r="AB823" s="72"/>
      <c r="AC823" s="72"/>
      <c r="AD823" s="72"/>
    </row>
    <row r="824" spans="1:30" s="71" customFormat="1" ht="21.75" customHeight="1">
      <c r="A824" s="294"/>
      <c r="B824" s="293" t="s">
        <v>714</v>
      </c>
      <c r="C824" s="294">
        <v>10</v>
      </c>
      <c r="D824" s="294">
        <v>1</v>
      </c>
      <c r="E824" s="294">
        <v>1</v>
      </c>
      <c r="F824" s="295">
        <v>1.2</v>
      </c>
      <c r="G824" s="295"/>
      <c r="H824" s="295">
        <v>0.35</v>
      </c>
      <c r="I824" s="298">
        <f t="shared" si="37"/>
        <v>4.2</v>
      </c>
      <c r="J824" s="303"/>
      <c r="K824" s="72"/>
      <c r="L824" s="72"/>
      <c r="M824" s="72"/>
      <c r="N824" s="72"/>
      <c r="O824" s="72"/>
      <c r="P824" s="72"/>
      <c r="Q824" s="72"/>
      <c r="R824" s="72"/>
      <c r="S824" s="72"/>
      <c r="T824" s="72"/>
      <c r="U824" s="72"/>
      <c r="V824" s="72"/>
      <c r="W824" s="72"/>
      <c r="X824" s="72"/>
      <c r="Y824" s="72"/>
      <c r="Z824" s="72"/>
      <c r="AA824" s="72"/>
      <c r="AB824" s="72"/>
      <c r="AC824" s="72"/>
      <c r="AD824" s="72"/>
    </row>
    <row r="825" spans="1:30" s="71" customFormat="1" ht="21.75" customHeight="1">
      <c r="A825" s="294"/>
      <c r="B825" s="293" t="s">
        <v>713</v>
      </c>
      <c r="C825" s="294">
        <v>10</v>
      </c>
      <c r="D825" s="294">
        <v>1</v>
      </c>
      <c r="E825" s="294">
        <v>1</v>
      </c>
      <c r="F825" s="294">
        <v>0.45</v>
      </c>
      <c r="G825" s="294"/>
      <c r="H825" s="294">
        <v>0.75</v>
      </c>
      <c r="I825" s="298">
        <f t="shared" si="37"/>
        <v>3.38</v>
      </c>
      <c r="J825" s="303"/>
      <c r="K825" s="72"/>
      <c r="L825" s="72"/>
      <c r="M825" s="72"/>
      <c r="N825" s="72"/>
      <c r="O825" s="72"/>
      <c r="P825" s="72"/>
      <c r="Q825" s="72"/>
      <c r="R825" s="72"/>
      <c r="S825" s="72"/>
      <c r="T825" s="72"/>
      <c r="U825" s="72"/>
      <c r="V825" s="72"/>
      <c r="W825" s="72"/>
      <c r="X825" s="72"/>
      <c r="Y825" s="72"/>
      <c r="Z825" s="72"/>
      <c r="AA825" s="72"/>
      <c r="AB825" s="72"/>
      <c r="AC825" s="72"/>
      <c r="AD825" s="72"/>
    </row>
    <row r="826" spans="1:30" s="71" customFormat="1" ht="21.75" customHeight="1">
      <c r="A826" s="294"/>
      <c r="B826" s="293" t="s">
        <v>712</v>
      </c>
      <c r="C826" s="294">
        <v>10</v>
      </c>
      <c r="D826" s="294">
        <v>1</v>
      </c>
      <c r="E826" s="294">
        <v>1</v>
      </c>
      <c r="F826" s="294">
        <v>1.2</v>
      </c>
      <c r="G826" s="294"/>
      <c r="H826" s="294">
        <v>0.25</v>
      </c>
      <c r="I826" s="298">
        <f t="shared" si="37"/>
        <v>3</v>
      </c>
      <c r="J826" s="303"/>
      <c r="K826" s="72"/>
      <c r="L826" s="72"/>
      <c r="M826" s="72"/>
      <c r="N826" s="72"/>
      <c r="O826" s="72"/>
      <c r="P826" s="72"/>
      <c r="Q826" s="72"/>
      <c r="R826" s="72"/>
      <c r="S826" s="72"/>
      <c r="T826" s="72"/>
      <c r="U826" s="72"/>
      <c r="V826" s="72"/>
      <c r="W826" s="72"/>
      <c r="X826" s="72"/>
      <c r="Y826" s="72"/>
      <c r="Z826" s="72"/>
      <c r="AA826" s="72"/>
      <c r="AB826" s="72"/>
      <c r="AC826" s="72"/>
      <c r="AD826" s="72"/>
    </row>
    <row r="827" spans="1:30" s="33" customFormat="1" ht="20.25" customHeight="1">
      <c r="A827" s="278"/>
      <c r="B827" s="279"/>
      <c r="C827" s="280"/>
      <c r="D827" s="280"/>
      <c r="E827" s="280"/>
      <c r="F827" s="282"/>
      <c r="G827" s="282"/>
      <c r="H827" s="282"/>
      <c r="I827" s="416">
        <f>SUM(I801:I826)</f>
        <v>472.53</v>
      </c>
      <c r="J827" s="340" t="s">
        <v>4</v>
      </c>
      <c r="K827" s="39"/>
      <c r="L827" s="39"/>
      <c r="M827" s="39"/>
      <c r="N827" s="34"/>
      <c r="O827" s="34"/>
      <c r="P827" s="34"/>
      <c r="Q827" s="34"/>
      <c r="R827" s="34"/>
      <c r="S827" s="34"/>
      <c r="T827" s="34"/>
      <c r="U827" s="34"/>
      <c r="V827" s="34"/>
      <c r="W827" s="34"/>
      <c r="X827" s="34"/>
      <c r="Y827" s="34"/>
      <c r="Z827" s="34"/>
      <c r="AA827" s="34"/>
      <c r="AB827" s="34"/>
      <c r="AC827" s="34"/>
      <c r="AD827" s="34"/>
    </row>
    <row r="828" spans="1:30" s="33" customFormat="1" ht="20.25" customHeight="1">
      <c r="A828" s="278"/>
      <c r="B828" s="279"/>
      <c r="C828" s="280"/>
      <c r="D828" s="280"/>
      <c r="E828" s="280"/>
      <c r="F828" s="282"/>
      <c r="G828" s="282"/>
      <c r="H828" s="415" t="s">
        <v>55</v>
      </c>
      <c r="I828" s="416">
        <f>ROUNDUP(I827,0)</f>
        <v>473</v>
      </c>
      <c r="J828" s="343" t="s">
        <v>4</v>
      </c>
      <c r="K828" s="44"/>
      <c r="L828" s="44"/>
      <c r="M828" s="44"/>
      <c r="N828" s="34"/>
      <c r="O828" s="34"/>
      <c r="P828" s="34"/>
      <c r="Q828" s="34"/>
      <c r="R828" s="34"/>
      <c r="S828" s="34"/>
      <c r="T828" s="34"/>
      <c r="U828" s="34"/>
      <c r="V828" s="34"/>
      <c r="W828" s="34"/>
      <c r="X828" s="34"/>
      <c r="Y828" s="34"/>
      <c r="Z828" s="34"/>
      <c r="AA828" s="34"/>
      <c r="AB828" s="34"/>
      <c r="AC828" s="34"/>
      <c r="AD828" s="34"/>
    </row>
    <row r="829" spans="1:30" s="2" customFormat="1" ht="20.25" customHeight="1">
      <c r="A829" s="278"/>
      <c r="B829" s="286" t="s">
        <v>296</v>
      </c>
      <c r="C829" s="280"/>
      <c r="D829" s="280"/>
      <c r="E829" s="280"/>
      <c r="F829" s="282"/>
      <c r="G829" s="282"/>
      <c r="H829" s="415"/>
      <c r="I829" s="416"/>
      <c r="J829" s="284"/>
      <c r="K829" s="43"/>
      <c r="L829" s="43"/>
      <c r="M829" s="43"/>
      <c r="N829" s="9"/>
      <c r="O829" s="9"/>
      <c r="P829" s="9"/>
      <c r="Q829" s="9"/>
      <c r="R829" s="9"/>
      <c r="S829" s="9"/>
      <c r="T829" s="9"/>
      <c r="U829" s="9"/>
      <c r="V829" s="9"/>
      <c r="W829" s="9"/>
      <c r="X829" s="9"/>
      <c r="Y829" s="9"/>
      <c r="Z829" s="9"/>
      <c r="AA829" s="9"/>
      <c r="AB829" s="9"/>
      <c r="AC829" s="9"/>
      <c r="AD829" s="9"/>
    </row>
    <row r="830" spans="1:30" s="2" customFormat="1" ht="20.25" customHeight="1">
      <c r="A830" s="278"/>
      <c r="B830" s="286" t="s">
        <v>283</v>
      </c>
      <c r="C830" s="280"/>
      <c r="D830" s="280"/>
      <c r="E830" s="280"/>
      <c r="F830" s="282"/>
      <c r="G830" s="282"/>
      <c r="H830" s="415"/>
      <c r="I830" s="416">
        <f>I828</f>
        <v>473</v>
      </c>
      <c r="J830" s="343" t="s">
        <v>4</v>
      </c>
      <c r="K830" s="44"/>
      <c r="L830" s="44"/>
      <c r="M830" s="44"/>
      <c r="N830" s="9"/>
      <c r="O830" s="9"/>
      <c r="P830" s="9"/>
      <c r="Q830" s="9"/>
      <c r="R830" s="9"/>
      <c r="S830" s="9"/>
      <c r="T830" s="9"/>
      <c r="U830" s="9"/>
      <c r="V830" s="9"/>
      <c r="W830" s="9"/>
      <c r="X830" s="9"/>
      <c r="Y830" s="9"/>
      <c r="Z830" s="9"/>
      <c r="AA830" s="9"/>
      <c r="AB830" s="9"/>
      <c r="AC830" s="9"/>
      <c r="AD830" s="9"/>
    </row>
    <row r="831" spans="1:30" s="2" customFormat="1" ht="20.25" customHeight="1">
      <c r="A831" s="278"/>
      <c r="B831" s="286" t="s">
        <v>295</v>
      </c>
      <c r="C831" s="280"/>
      <c r="D831" s="280"/>
      <c r="E831" s="280"/>
      <c r="F831" s="282"/>
      <c r="G831" s="282"/>
      <c r="H831" s="415"/>
      <c r="I831" s="416"/>
      <c r="J831" s="284"/>
      <c r="K831" s="43"/>
      <c r="L831" s="43"/>
      <c r="M831" s="43"/>
      <c r="N831" s="9"/>
      <c r="O831" s="9"/>
      <c r="P831" s="9"/>
      <c r="Q831" s="9"/>
      <c r="R831" s="9"/>
      <c r="S831" s="9"/>
      <c r="T831" s="9"/>
      <c r="U831" s="9"/>
      <c r="V831" s="9"/>
      <c r="W831" s="9"/>
      <c r="X831" s="9"/>
      <c r="Y831" s="9"/>
      <c r="Z831" s="9"/>
      <c r="AA831" s="9"/>
      <c r="AB831" s="9"/>
      <c r="AC831" s="9"/>
      <c r="AD831" s="9"/>
    </row>
    <row r="832" spans="1:30" s="2" customFormat="1" ht="20.25" customHeight="1">
      <c r="A832" s="278"/>
      <c r="B832" s="286" t="s">
        <v>283</v>
      </c>
      <c r="C832" s="280"/>
      <c r="D832" s="280"/>
      <c r="E832" s="280"/>
      <c r="F832" s="282"/>
      <c r="G832" s="282"/>
      <c r="H832" s="415"/>
      <c r="I832" s="416">
        <f>I830</f>
        <v>473</v>
      </c>
      <c r="J832" s="343" t="s">
        <v>4</v>
      </c>
      <c r="K832" s="44"/>
      <c r="L832" s="44"/>
      <c r="M832" s="44"/>
      <c r="N832" s="9"/>
      <c r="O832" s="9"/>
      <c r="P832" s="9"/>
      <c r="Q832" s="9"/>
      <c r="R832" s="9"/>
      <c r="S832" s="9"/>
      <c r="T832" s="9"/>
      <c r="U832" s="9"/>
      <c r="V832" s="9"/>
      <c r="W832" s="9"/>
      <c r="X832" s="9"/>
      <c r="Y832" s="9"/>
      <c r="Z832" s="9"/>
      <c r="AA832" s="9"/>
      <c r="AB832" s="9"/>
      <c r="AC832" s="9"/>
      <c r="AD832" s="9"/>
    </row>
    <row r="833" spans="1:30" s="2" customFormat="1" ht="20.25" customHeight="1">
      <c r="A833" s="278"/>
      <c r="B833" s="286" t="s">
        <v>294</v>
      </c>
      <c r="C833" s="280"/>
      <c r="D833" s="280"/>
      <c r="E833" s="280"/>
      <c r="F833" s="282"/>
      <c r="G833" s="282"/>
      <c r="H833" s="415"/>
      <c r="I833" s="416"/>
      <c r="J833" s="284"/>
      <c r="K833" s="43"/>
      <c r="L833" s="43"/>
      <c r="M833" s="43"/>
      <c r="N833" s="9"/>
      <c r="O833" s="9"/>
      <c r="P833" s="9"/>
      <c r="Q833" s="9"/>
      <c r="R833" s="9"/>
      <c r="S833" s="9"/>
      <c r="T833" s="9"/>
      <c r="U833" s="9"/>
      <c r="V833" s="9"/>
      <c r="W833" s="9"/>
      <c r="X833" s="9"/>
      <c r="Y833" s="9"/>
      <c r="Z833" s="9"/>
      <c r="AA833" s="9"/>
      <c r="AB833" s="9"/>
      <c r="AC833" s="9"/>
      <c r="AD833" s="9"/>
    </row>
    <row r="834" spans="1:30" s="2" customFormat="1" ht="20.25" customHeight="1">
      <c r="A834" s="278"/>
      <c r="B834" s="286" t="s">
        <v>283</v>
      </c>
      <c r="C834" s="280"/>
      <c r="D834" s="280"/>
      <c r="E834" s="280"/>
      <c r="F834" s="282"/>
      <c r="G834" s="282"/>
      <c r="H834" s="415"/>
      <c r="I834" s="416">
        <f>I832</f>
        <v>473</v>
      </c>
      <c r="J834" s="343" t="s">
        <v>4</v>
      </c>
      <c r="K834" s="44"/>
      <c r="L834" s="44"/>
      <c r="M834" s="44"/>
      <c r="N834" s="9"/>
      <c r="O834" s="9"/>
      <c r="P834" s="9"/>
      <c r="Q834" s="9"/>
      <c r="R834" s="9"/>
      <c r="S834" s="9"/>
      <c r="T834" s="9"/>
      <c r="U834" s="9"/>
      <c r="V834" s="9"/>
      <c r="W834" s="9"/>
      <c r="X834" s="9"/>
      <c r="Y834" s="9"/>
      <c r="Z834" s="9"/>
      <c r="AA834" s="9"/>
      <c r="AB834" s="9"/>
      <c r="AC834" s="9"/>
      <c r="AD834" s="9"/>
    </row>
    <row r="835" spans="1:30" s="2" customFormat="1" ht="20.25" customHeight="1">
      <c r="A835" s="278"/>
      <c r="B835" s="286" t="s">
        <v>293</v>
      </c>
      <c r="C835" s="280"/>
      <c r="D835" s="280"/>
      <c r="E835" s="280"/>
      <c r="F835" s="282"/>
      <c r="G835" s="282"/>
      <c r="H835" s="415"/>
      <c r="I835" s="416"/>
      <c r="J835" s="284"/>
      <c r="K835" s="43"/>
      <c r="L835" s="43"/>
      <c r="M835" s="43"/>
      <c r="N835" s="9"/>
      <c r="O835" s="9"/>
      <c r="P835" s="9"/>
      <c r="Q835" s="9"/>
      <c r="R835" s="9"/>
      <c r="S835" s="9"/>
      <c r="T835" s="9"/>
      <c r="U835" s="9"/>
      <c r="V835" s="9"/>
      <c r="W835" s="9"/>
      <c r="X835" s="9"/>
      <c r="Y835" s="9"/>
      <c r="Z835" s="9"/>
      <c r="AA835" s="9"/>
      <c r="AB835" s="9"/>
      <c r="AC835" s="9"/>
      <c r="AD835" s="9"/>
    </row>
    <row r="836" spans="1:30" s="2" customFormat="1" ht="20.25" customHeight="1">
      <c r="A836" s="278"/>
      <c r="B836" s="286" t="s">
        <v>283</v>
      </c>
      <c r="C836" s="280"/>
      <c r="D836" s="280"/>
      <c r="E836" s="280"/>
      <c r="F836" s="282"/>
      <c r="G836" s="282"/>
      <c r="H836" s="415"/>
      <c r="I836" s="416">
        <f>I834</f>
        <v>473</v>
      </c>
      <c r="J836" s="343" t="s">
        <v>4</v>
      </c>
      <c r="K836" s="44"/>
      <c r="L836" s="44"/>
      <c r="M836" s="44"/>
      <c r="N836" s="9"/>
      <c r="O836" s="9"/>
      <c r="P836" s="9"/>
      <c r="Q836" s="9"/>
      <c r="R836" s="9"/>
      <c r="S836" s="9"/>
      <c r="T836" s="9"/>
      <c r="U836" s="9"/>
      <c r="V836" s="9"/>
      <c r="W836" s="9"/>
      <c r="X836" s="9"/>
      <c r="Y836" s="9"/>
      <c r="Z836" s="9"/>
      <c r="AA836" s="9"/>
      <c r="AB836" s="9"/>
      <c r="AC836" s="9"/>
      <c r="AD836" s="9"/>
    </row>
    <row r="837" spans="1:30" s="2" customFormat="1" ht="23.25" customHeight="1">
      <c r="A837" s="278"/>
      <c r="B837" s="286" t="s">
        <v>292</v>
      </c>
      <c r="C837" s="280"/>
      <c r="D837" s="280"/>
      <c r="E837" s="280"/>
      <c r="F837" s="282"/>
      <c r="G837" s="282"/>
      <c r="H837" s="415"/>
      <c r="I837" s="416"/>
      <c r="J837" s="284"/>
      <c r="K837" s="43"/>
      <c r="L837" s="43"/>
      <c r="M837" s="43"/>
      <c r="N837" s="9"/>
      <c r="O837" s="9"/>
      <c r="P837" s="9"/>
      <c r="Q837" s="9"/>
      <c r="R837" s="9"/>
      <c r="S837" s="9"/>
      <c r="T837" s="9"/>
      <c r="U837" s="9"/>
      <c r="V837" s="9"/>
      <c r="W837" s="9"/>
      <c r="X837" s="9"/>
      <c r="Y837" s="9"/>
      <c r="Z837" s="9"/>
      <c r="AA837" s="9"/>
      <c r="AB837" s="9"/>
      <c r="AC837" s="9"/>
      <c r="AD837" s="9"/>
    </row>
    <row r="838" spans="1:30" s="2" customFormat="1" ht="23.25" customHeight="1">
      <c r="A838" s="278"/>
      <c r="B838" s="286" t="s">
        <v>283</v>
      </c>
      <c r="C838" s="280"/>
      <c r="D838" s="280"/>
      <c r="E838" s="280"/>
      <c r="F838" s="282"/>
      <c r="G838" s="282"/>
      <c r="H838" s="415"/>
      <c r="I838" s="416">
        <f>I836</f>
        <v>473</v>
      </c>
      <c r="J838" s="343" t="s">
        <v>4</v>
      </c>
      <c r="K838" s="44"/>
      <c r="L838" s="44"/>
      <c r="M838" s="44"/>
      <c r="N838" s="9"/>
      <c r="O838" s="9"/>
      <c r="P838" s="9"/>
      <c r="Q838" s="9"/>
      <c r="R838" s="9"/>
      <c r="S838" s="9"/>
      <c r="T838" s="9"/>
      <c r="U838" s="9"/>
      <c r="V838" s="9"/>
      <c r="W838" s="9"/>
      <c r="X838" s="9"/>
      <c r="Y838" s="9"/>
      <c r="Z838" s="9"/>
      <c r="AA838" s="9"/>
      <c r="AB838" s="9"/>
      <c r="AC838" s="9"/>
      <c r="AD838" s="9"/>
    </row>
    <row r="839" spans="1:30" s="2" customFormat="1" ht="23.25" customHeight="1">
      <c r="A839" s="278"/>
      <c r="B839" s="286" t="s">
        <v>291</v>
      </c>
      <c r="C839" s="280"/>
      <c r="D839" s="280"/>
      <c r="E839" s="280"/>
      <c r="F839" s="282"/>
      <c r="G839" s="282"/>
      <c r="H839" s="415"/>
      <c r="I839" s="416"/>
      <c r="J839" s="284"/>
      <c r="K839" s="43"/>
      <c r="L839" s="43"/>
      <c r="M839" s="43"/>
      <c r="N839" s="9"/>
      <c r="O839" s="9"/>
      <c r="P839" s="9"/>
      <c r="Q839" s="9"/>
      <c r="R839" s="9"/>
      <c r="S839" s="9"/>
      <c r="T839" s="9"/>
      <c r="U839" s="9"/>
      <c r="V839" s="9"/>
      <c r="W839" s="9"/>
      <c r="X839" s="9"/>
      <c r="Y839" s="9"/>
      <c r="Z839" s="9"/>
      <c r="AA839" s="9"/>
      <c r="AB839" s="9"/>
      <c r="AC839" s="9"/>
      <c r="AD839" s="9"/>
    </row>
    <row r="840" spans="1:30" s="2" customFormat="1" ht="23.25" customHeight="1">
      <c r="A840" s="278"/>
      <c r="B840" s="286" t="s">
        <v>283</v>
      </c>
      <c r="C840" s="280"/>
      <c r="D840" s="280"/>
      <c r="E840" s="280"/>
      <c r="F840" s="282"/>
      <c r="G840" s="282"/>
      <c r="H840" s="415"/>
      <c r="I840" s="416">
        <f>I838</f>
        <v>473</v>
      </c>
      <c r="J840" s="343" t="s">
        <v>4</v>
      </c>
      <c r="K840" s="44"/>
      <c r="L840" s="44"/>
      <c r="M840" s="44"/>
      <c r="N840" s="9"/>
      <c r="O840" s="9"/>
      <c r="P840" s="9"/>
      <c r="Q840" s="9"/>
      <c r="R840" s="9"/>
      <c r="S840" s="9"/>
      <c r="T840" s="9"/>
      <c r="U840" s="9"/>
      <c r="V840" s="9"/>
      <c r="W840" s="9"/>
      <c r="X840" s="9"/>
      <c r="Y840" s="9"/>
      <c r="Z840" s="9"/>
      <c r="AA840" s="9"/>
      <c r="AB840" s="9"/>
      <c r="AC840" s="9"/>
      <c r="AD840" s="9"/>
    </row>
    <row r="841" spans="1:30" s="2" customFormat="1" ht="23.25" customHeight="1">
      <c r="A841" s="278"/>
      <c r="B841" s="286" t="s">
        <v>290</v>
      </c>
      <c r="C841" s="280"/>
      <c r="D841" s="280"/>
      <c r="E841" s="280"/>
      <c r="F841" s="282"/>
      <c r="G841" s="282"/>
      <c r="H841" s="415"/>
      <c r="I841" s="416"/>
      <c r="J841" s="284"/>
      <c r="K841" s="43"/>
      <c r="L841" s="43"/>
      <c r="M841" s="43"/>
      <c r="N841" s="9"/>
      <c r="O841" s="9"/>
      <c r="P841" s="9"/>
      <c r="Q841" s="9"/>
      <c r="R841" s="9"/>
      <c r="S841" s="9"/>
      <c r="T841" s="9"/>
      <c r="U841" s="9"/>
      <c r="V841" s="9"/>
      <c r="W841" s="9"/>
      <c r="X841" s="9"/>
      <c r="Y841" s="9"/>
      <c r="Z841" s="9"/>
      <c r="AA841" s="9"/>
      <c r="AB841" s="9"/>
      <c r="AC841" s="9"/>
      <c r="AD841" s="9"/>
    </row>
    <row r="842" spans="1:30" s="2" customFormat="1" ht="23.25" customHeight="1">
      <c r="A842" s="278"/>
      <c r="B842" s="286" t="s">
        <v>283</v>
      </c>
      <c r="C842" s="280"/>
      <c r="D842" s="280"/>
      <c r="E842" s="280"/>
      <c r="F842" s="282"/>
      <c r="G842" s="282"/>
      <c r="H842" s="415"/>
      <c r="I842" s="416">
        <f>I840</f>
        <v>473</v>
      </c>
      <c r="J842" s="343" t="s">
        <v>4</v>
      </c>
      <c r="K842" s="44"/>
      <c r="L842" s="44"/>
      <c r="M842" s="44"/>
      <c r="N842" s="9"/>
      <c r="O842" s="9"/>
      <c r="P842" s="9"/>
      <c r="Q842" s="9"/>
      <c r="R842" s="9"/>
      <c r="S842" s="9"/>
      <c r="T842" s="9"/>
      <c r="U842" s="9"/>
      <c r="V842" s="9"/>
      <c r="W842" s="9"/>
      <c r="X842" s="9"/>
      <c r="Y842" s="9"/>
      <c r="Z842" s="9"/>
      <c r="AA842" s="9"/>
      <c r="AB842" s="9"/>
      <c r="AC842" s="9"/>
      <c r="AD842" s="9"/>
    </row>
    <row r="843" spans="1:30" s="2" customFormat="1" ht="23.25" customHeight="1">
      <c r="A843" s="278"/>
      <c r="B843" s="286" t="s">
        <v>289</v>
      </c>
      <c r="C843" s="280"/>
      <c r="D843" s="280"/>
      <c r="E843" s="280"/>
      <c r="F843" s="282"/>
      <c r="G843" s="282"/>
      <c r="H843" s="415"/>
      <c r="I843" s="416"/>
      <c r="J843" s="284"/>
      <c r="K843" s="43"/>
      <c r="L843" s="43"/>
      <c r="M843" s="43"/>
      <c r="N843" s="9"/>
      <c r="O843" s="9"/>
      <c r="P843" s="9"/>
      <c r="Q843" s="9"/>
      <c r="R843" s="9"/>
      <c r="S843" s="9"/>
      <c r="T843" s="9"/>
      <c r="U843" s="9"/>
      <c r="V843" s="9"/>
      <c r="W843" s="9"/>
      <c r="X843" s="9"/>
      <c r="Y843" s="9"/>
      <c r="Z843" s="9"/>
      <c r="AA843" s="9"/>
      <c r="AB843" s="9"/>
      <c r="AC843" s="9"/>
      <c r="AD843" s="9"/>
    </row>
    <row r="844" spans="1:30" s="2" customFormat="1" ht="23.25" customHeight="1">
      <c r="A844" s="278"/>
      <c r="B844" s="286" t="s">
        <v>283</v>
      </c>
      <c r="C844" s="280"/>
      <c r="D844" s="280"/>
      <c r="E844" s="280"/>
      <c r="F844" s="282"/>
      <c r="G844" s="282"/>
      <c r="H844" s="415"/>
      <c r="I844" s="416">
        <f>I842</f>
        <v>473</v>
      </c>
      <c r="J844" s="343" t="s">
        <v>4</v>
      </c>
      <c r="K844" s="44"/>
      <c r="L844" s="44"/>
      <c r="M844" s="44"/>
      <c r="N844" s="9"/>
      <c r="O844" s="9"/>
      <c r="P844" s="9"/>
      <c r="Q844" s="9"/>
      <c r="R844" s="9"/>
      <c r="S844" s="9"/>
      <c r="T844" s="9"/>
      <c r="U844" s="9"/>
      <c r="V844" s="9"/>
      <c r="W844" s="9"/>
      <c r="X844" s="9"/>
      <c r="Y844" s="9"/>
      <c r="Z844" s="9"/>
      <c r="AA844" s="9"/>
      <c r="AB844" s="9"/>
      <c r="AC844" s="9"/>
      <c r="AD844" s="9"/>
    </row>
    <row r="845" spans="1:30" s="2" customFormat="1" ht="23.25" customHeight="1">
      <c r="A845" s="278"/>
      <c r="B845" s="286" t="s">
        <v>288</v>
      </c>
      <c r="C845" s="280"/>
      <c r="D845" s="280"/>
      <c r="E845" s="280"/>
      <c r="F845" s="282"/>
      <c r="G845" s="282"/>
      <c r="H845" s="415"/>
      <c r="I845" s="416"/>
      <c r="J845" s="284"/>
      <c r="K845" s="43"/>
      <c r="L845" s="43"/>
      <c r="M845" s="43"/>
      <c r="N845" s="9"/>
      <c r="O845" s="9"/>
      <c r="P845" s="9"/>
      <c r="Q845" s="9"/>
      <c r="R845" s="9"/>
      <c r="S845" s="9"/>
      <c r="T845" s="9"/>
      <c r="U845" s="9"/>
      <c r="V845" s="9"/>
      <c r="W845" s="9"/>
      <c r="X845" s="9"/>
      <c r="Y845" s="9"/>
      <c r="Z845" s="9"/>
      <c r="AA845" s="9"/>
      <c r="AB845" s="9"/>
      <c r="AC845" s="9"/>
      <c r="AD845" s="9"/>
    </row>
    <row r="846" spans="1:30" s="33" customFormat="1" ht="23.25" customHeight="1">
      <c r="A846" s="278"/>
      <c r="B846" s="286" t="s">
        <v>730</v>
      </c>
      <c r="C846" s="280"/>
      <c r="D846" s="280"/>
      <c r="E846" s="280"/>
      <c r="F846" s="463"/>
      <c r="G846" s="282"/>
      <c r="H846" s="282"/>
      <c r="I846" s="416"/>
      <c r="J846" s="284"/>
      <c r="K846" s="43"/>
      <c r="L846" s="43"/>
      <c r="M846" s="43"/>
      <c r="N846" s="34"/>
      <c r="O846" s="34"/>
      <c r="P846" s="34"/>
      <c r="Q846" s="34"/>
      <c r="R846" s="34"/>
      <c r="S846" s="34"/>
      <c r="T846" s="34"/>
      <c r="U846" s="34"/>
      <c r="V846" s="34"/>
      <c r="W846" s="34"/>
      <c r="X846" s="34"/>
      <c r="Y846" s="34"/>
      <c r="Z846" s="34"/>
      <c r="AA846" s="34"/>
      <c r="AB846" s="34"/>
      <c r="AC846" s="34"/>
      <c r="AD846" s="34"/>
    </row>
    <row r="847" spans="1:30" s="71" customFormat="1" ht="21.75" customHeight="1">
      <c r="A847" s="294"/>
      <c r="B847" s="297" t="s">
        <v>729</v>
      </c>
      <c r="C847" s="294">
        <v>10</v>
      </c>
      <c r="D847" s="294">
        <v>1</v>
      </c>
      <c r="E847" s="294">
        <v>1</v>
      </c>
      <c r="F847" s="294">
        <v>3.35</v>
      </c>
      <c r="G847" s="294"/>
      <c r="H847" s="295">
        <v>2.1</v>
      </c>
      <c r="I847" s="298">
        <f t="shared" ref="I847:I872" si="38">PRODUCT(C847:H847)</f>
        <v>70.349999999999994</v>
      </c>
      <c r="J847" s="477"/>
      <c r="K847" s="139"/>
      <c r="L847" s="139"/>
      <c r="M847" s="139"/>
      <c r="N847" s="72"/>
      <c r="O847" s="72"/>
      <c r="P847" s="72"/>
      <c r="Q847" s="72"/>
      <c r="R847" s="72"/>
      <c r="S847" s="72"/>
      <c r="T847" s="72"/>
      <c r="U847" s="72"/>
      <c r="V847" s="72"/>
      <c r="W847" s="72"/>
      <c r="X847" s="72"/>
      <c r="Y847" s="72"/>
      <c r="Z847" s="72"/>
      <c r="AA847" s="72"/>
      <c r="AB847" s="72"/>
      <c r="AC847" s="72"/>
      <c r="AD847" s="72"/>
    </row>
    <row r="848" spans="1:30" s="71" customFormat="1" ht="21.75" customHeight="1">
      <c r="A848" s="294"/>
      <c r="B848" s="297" t="s">
        <v>728</v>
      </c>
      <c r="C848" s="294">
        <v>-10</v>
      </c>
      <c r="D848" s="294">
        <v>1</v>
      </c>
      <c r="E848" s="294">
        <v>1</v>
      </c>
      <c r="F848" s="294">
        <v>0.115</v>
      </c>
      <c r="G848" s="294"/>
      <c r="H848" s="295">
        <v>2.1</v>
      </c>
      <c r="I848" s="298">
        <f t="shared" si="38"/>
        <v>-2.42</v>
      </c>
      <c r="J848" s="477"/>
      <c r="K848" s="139"/>
      <c r="L848" s="139"/>
      <c r="M848" s="139"/>
      <c r="N848" s="72"/>
      <c r="O848" s="72"/>
      <c r="P848" s="72"/>
      <c r="Q848" s="72"/>
      <c r="R848" s="72"/>
      <c r="S848" s="72"/>
      <c r="T848" s="72"/>
      <c r="U848" s="72"/>
      <c r="V848" s="72"/>
      <c r="W848" s="72"/>
      <c r="X848" s="72"/>
      <c r="Y848" s="72"/>
      <c r="Z848" s="72"/>
      <c r="AA848" s="72"/>
      <c r="AB848" s="72"/>
      <c r="AC848" s="72"/>
      <c r="AD848" s="72"/>
    </row>
    <row r="849" spans="1:30" s="71" customFormat="1" ht="21.75" customHeight="1">
      <c r="A849" s="294"/>
      <c r="B849" s="297" t="s">
        <v>97</v>
      </c>
      <c r="C849" s="294">
        <v>-10</v>
      </c>
      <c r="D849" s="294">
        <v>1</v>
      </c>
      <c r="E849" s="294">
        <v>1</v>
      </c>
      <c r="F849" s="295">
        <v>0.9</v>
      </c>
      <c r="G849" s="294"/>
      <c r="H849" s="295">
        <v>2.1</v>
      </c>
      <c r="I849" s="298">
        <f t="shared" si="38"/>
        <v>-18.899999999999999</v>
      </c>
      <c r="J849" s="477"/>
      <c r="K849" s="139"/>
      <c r="L849" s="139"/>
      <c r="M849" s="139"/>
      <c r="N849" s="72"/>
      <c r="O849" s="72"/>
      <c r="P849" s="72"/>
      <c r="Q849" s="72"/>
      <c r="R849" s="72"/>
      <c r="S849" s="72"/>
      <c r="T849" s="72"/>
      <c r="U849" s="72"/>
      <c r="V849" s="72"/>
      <c r="W849" s="72"/>
      <c r="X849" s="72"/>
      <c r="Y849" s="72"/>
      <c r="Z849" s="72"/>
      <c r="AA849" s="72"/>
      <c r="AB849" s="72"/>
      <c r="AC849" s="72"/>
      <c r="AD849" s="72"/>
    </row>
    <row r="850" spans="1:30" s="71" customFormat="1" ht="21.75" customHeight="1">
      <c r="A850" s="294"/>
      <c r="B850" s="293" t="s">
        <v>727</v>
      </c>
      <c r="C850" s="294">
        <v>10</v>
      </c>
      <c r="D850" s="294">
        <v>1</v>
      </c>
      <c r="E850" s="294">
        <v>1</v>
      </c>
      <c r="F850" s="294">
        <v>3.35</v>
      </c>
      <c r="G850" s="294"/>
      <c r="H850" s="295">
        <v>2.1</v>
      </c>
      <c r="I850" s="298">
        <f t="shared" si="38"/>
        <v>70.349999999999994</v>
      </c>
      <c r="J850" s="477"/>
      <c r="K850" s="139"/>
      <c r="L850" s="139"/>
      <c r="M850" s="139"/>
      <c r="N850" s="72"/>
      <c r="O850" s="72"/>
      <c r="P850" s="72"/>
      <c r="Q850" s="72"/>
      <c r="R850" s="72"/>
      <c r="S850" s="72"/>
      <c r="T850" s="72"/>
      <c r="U850" s="72"/>
      <c r="V850" s="72"/>
      <c r="W850" s="72"/>
      <c r="X850" s="72"/>
      <c r="Y850" s="72"/>
      <c r="Z850" s="72"/>
      <c r="AA850" s="72"/>
      <c r="AB850" s="72"/>
      <c r="AC850" s="72"/>
      <c r="AD850" s="72"/>
    </row>
    <row r="851" spans="1:30" s="71" customFormat="1" ht="21.75" customHeight="1">
      <c r="A851" s="294"/>
      <c r="B851" s="297" t="s">
        <v>97</v>
      </c>
      <c r="C851" s="294">
        <v>-10</v>
      </c>
      <c r="D851" s="294">
        <v>1</v>
      </c>
      <c r="E851" s="294">
        <v>1</v>
      </c>
      <c r="F851" s="295">
        <v>0.9</v>
      </c>
      <c r="G851" s="294"/>
      <c r="H851" s="295">
        <v>2.1</v>
      </c>
      <c r="I851" s="298">
        <f t="shared" si="38"/>
        <v>-18.899999999999999</v>
      </c>
      <c r="J851" s="477"/>
      <c r="K851" s="139"/>
      <c r="L851" s="139"/>
      <c r="M851" s="139"/>
      <c r="N851" s="72"/>
      <c r="O851" s="72"/>
      <c r="P851" s="72"/>
      <c r="Q851" s="72"/>
      <c r="R851" s="72"/>
      <c r="S851" s="72"/>
      <c r="T851" s="72"/>
      <c r="U851" s="72"/>
      <c r="V851" s="72"/>
      <c r="W851" s="72"/>
      <c r="X851" s="72"/>
      <c r="Y851" s="72"/>
      <c r="Z851" s="72"/>
      <c r="AA851" s="72"/>
      <c r="AB851" s="72"/>
      <c r="AC851" s="72"/>
      <c r="AD851" s="72"/>
    </row>
    <row r="852" spans="1:30" s="71" customFormat="1" ht="21.75" customHeight="1">
      <c r="A852" s="294"/>
      <c r="B852" s="293" t="s">
        <v>726</v>
      </c>
      <c r="C852" s="294">
        <v>10</v>
      </c>
      <c r="D852" s="294">
        <v>1</v>
      </c>
      <c r="E852" s="294">
        <v>1</v>
      </c>
      <c r="F852" s="294">
        <v>3.6</v>
      </c>
      <c r="G852" s="294"/>
      <c r="H852" s="295">
        <v>2.1</v>
      </c>
      <c r="I852" s="298">
        <f t="shared" si="38"/>
        <v>75.599999999999994</v>
      </c>
      <c r="J852" s="477"/>
      <c r="K852" s="139"/>
      <c r="L852" s="139"/>
      <c r="M852" s="139"/>
      <c r="N852" s="72"/>
      <c r="O852" s="72"/>
      <c r="P852" s="72"/>
      <c r="Q852" s="72"/>
      <c r="R852" s="72"/>
      <c r="S852" s="72"/>
      <c r="T852" s="72"/>
      <c r="U852" s="72"/>
      <c r="V852" s="72"/>
      <c r="W852" s="72"/>
      <c r="X852" s="72"/>
      <c r="Y852" s="72"/>
      <c r="Z852" s="72"/>
      <c r="AA852" s="72"/>
      <c r="AB852" s="72"/>
      <c r="AC852" s="72"/>
      <c r="AD852" s="72"/>
    </row>
    <row r="853" spans="1:30" s="71" customFormat="1" ht="21.75" customHeight="1">
      <c r="A853" s="294"/>
      <c r="B853" s="297" t="s">
        <v>102</v>
      </c>
      <c r="C853" s="294">
        <v>-10</v>
      </c>
      <c r="D853" s="294">
        <v>1</v>
      </c>
      <c r="E853" s="294">
        <v>1</v>
      </c>
      <c r="F853" s="294">
        <v>0.75</v>
      </c>
      <c r="G853" s="294"/>
      <c r="H853" s="295">
        <v>2.1</v>
      </c>
      <c r="I853" s="298">
        <f t="shared" si="38"/>
        <v>-15.75</v>
      </c>
      <c r="J853" s="477"/>
      <c r="K853" s="139"/>
      <c r="L853" s="139"/>
      <c r="M853" s="139"/>
      <c r="N853" s="72"/>
      <c r="O853" s="72"/>
      <c r="P853" s="72"/>
      <c r="Q853" s="72"/>
      <c r="R853" s="72"/>
      <c r="S853" s="72"/>
      <c r="T853" s="72"/>
      <c r="U853" s="72"/>
      <c r="V853" s="72"/>
      <c r="W853" s="72"/>
      <c r="X853" s="72"/>
      <c r="Y853" s="72"/>
      <c r="Z853" s="72"/>
      <c r="AA853" s="72"/>
      <c r="AB853" s="72"/>
      <c r="AC853" s="72"/>
      <c r="AD853" s="72"/>
    </row>
    <row r="854" spans="1:30" s="71" customFormat="1" ht="21.75" customHeight="1">
      <c r="A854" s="294"/>
      <c r="B854" s="297" t="s">
        <v>725</v>
      </c>
      <c r="C854" s="294">
        <v>10</v>
      </c>
      <c r="D854" s="294">
        <v>1</v>
      </c>
      <c r="E854" s="294">
        <v>1</v>
      </c>
      <c r="F854" s="295">
        <v>1.2</v>
      </c>
      <c r="G854" s="294"/>
      <c r="H854" s="295">
        <v>0.35</v>
      </c>
      <c r="I854" s="298">
        <f t="shared" si="38"/>
        <v>4.2</v>
      </c>
      <c r="J854" s="477"/>
      <c r="K854" s="139"/>
      <c r="L854" s="139"/>
      <c r="M854" s="139"/>
      <c r="N854" s="72"/>
      <c r="O854" s="72"/>
      <c r="P854" s="72"/>
      <c r="Q854" s="72"/>
      <c r="R854" s="72"/>
      <c r="S854" s="72"/>
      <c r="T854" s="72"/>
      <c r="U854" s="72"/>
      <c r="V854" s="72"/>
      <c r="W854" s="72"/>
      <c r="X854" s="72"/>
      <c r="Y854" s="72"/>
      <c r="Z854" s="72"/>
      <c r="AA854" s="72"/>
      <c r="AB854" s="72"/>
      <c r="AC854" s="72"/>
      <c r="AD854" s="72"/>
    </row>
    <row r="855" spans="1:30" s="71" customFormat="1" ht="21.75" customHeight="1">
      <c r="A855" s="294"/>
      <c r="B855" s="293" t="s">
        <v>724</v>
      </c>
      <c r="C855" s="294">
        <v>10</v>
      </c>
      <c r="D855" s="294">
        <v>1</v>
      </c>
      <c r="E855" s="294">
        <v>1</v>
      </c>
      <c r="F855" s="300">
        <v>2.2850000000000001</v>
      </c>
      <c r="G855" s="294"/>
      <c r="H855" s="294">
        <v>2.65</v>
      </c>
      <c r="I855" s="298">
        <f t="shared" si="38"/>
        <v>60.55</v>
      </c>
      <c r="J855" s="477"/>
      <c r="K855" s="139"/>
      <c r="L855" s="139"/>
      <c r="M855" s="139"/>
      <c r="N855" s="72"/>
      <c r="O855" s="72"/>
      <c r="P855" s="72"/>
      <c r="Q855" s="72"/>
      <c r="R855" s="72"/>
      <c r="S855" s="72"/>
      <c r="T855" s="72"/>
      <c r="U855" s="72"/>
      <c r="V855" s="72"/>
      <c r="W855" s="72"/>
      <c r="X855" s="72"/>
      <c r="Y855" s="72"/>
      <c r="Z855" s="72"/>
      <c r="AA855" s="72"/>
      <c r="AB855" s="72"/>
      <c r="AC855" s="72"/>
      <c r="AD855" s="72"/>
    </row>
    <row r="856" spans="1:30" s="71" customFormat="1" ht="21.75" customHeight="1">
      <c r="A856" s="294"/>
      <c r="B856" s="297" t="s">
        <v>723</v>
      </c>
      <c r="C856" s="294">
        <v>10</v>
      </c>
      <c r="D856" s="294">
        <v>1</v>
      </c>
      <c r="E856" s="294">
        <v>1</v>
      </c>
      <c r="F856" s="295">
        <v>2.8</v>
      </c>
      <c r="G856" s="295"/>
      <c r="H856" s="295">
        <v>2.1</v>
      </c>
      <c r="I856" s="298">
        <f t="shared" si="38"/>
        <v>58.8</v>
      </c>
      <c r="J856" s="477"/>
      <c r="K856" s="139"/>
      <c r="L856" s="139"/>
      <c r="M856" s="139"/>
      <c r="N856" s="72"/>
      <c r="O856" s="72"/>
      <c r="P856" s="72"/>
      <c r="Q856" s="72"/>
      <c r="R856" s="72"/>
      <c r="S856" s="72"/>
      <c r="T856" s="72"/>
      <c r="U856" s="72"/>
      <c r="V856" s="72"/>
      <c r="W856" s="72"/>
      <c r="X856" s="72"/>
      <c r="Y856" s="72"/>
      <c r="Z856" s="72"/>
      <c r="AA856" s="72"/>
      <c r="AB856" s="72"/>
      <c r="AC856" s="72"/>
      <c r="AD856" s="72"/>
    </row>
    <row r="857" spans="1:30" s="71" customFormat="1" ht="21.75" customHeight="1">
      <c r="A857" s="294"/>
      <c r="B857" s="297" t="s">
        <v>358</v>
      </c>
      <c r="C857" s="294">
        <v>-10</v>
      </c>
      <c r="D857" s="294">
        <v>1</v>
      </c>
      <c r="E857" s="294">
        <v>1</v>
      </c>
      <c r="F857" s="295">
        <v>0.9</v>
      </c>
      <c r="G857" s="294"/>
      <c r="H857" s="295">
        <v>2.1</v>
      </c>
      <c r="I857" s="298">
        <f t="shared" si="38"/>
        <v>-18.899999999999999</v>
      </c>
      <c r="J857" s="477"/>
      <c r="K857" s="139"/>
      <c r="L857" s="139"/>
      <c r="M857" s="139"/>
      <c r="N857" s="72"/>
      <c r="O857" s="72"/>
      <c r="P857" s="72"/>
      <c r="Q857" s="72"/>
      <c r="R857" s="72"/>
      <c r="S857" s="72"/>
      <c r="T857" s="72"/>
      <c r="U857" s="72"/>
      <c r="V857" s="72"/>
      <c r="W857" s="72"/>
      <c r="X857" s="72"/>
      <c r="Y857" s="72"/>
      <c r="Z857" s="72"/>
      <c r="AA857" s="72"/>
      <c r="AB857" s="72"/>
      <c r="AC857" s="72"/>
      <c r="AD857" s="72"/>
    </row>
    <row r="858" spans="1:30" s="71" customFormat="1" ht="21.75" customHeight="1">
      <c r="A858" s="294"/>
      <c r="B858" s="297" t="s">
        <v>722</v>
      </c>
      <c r="C858" s="294">
        <v>10</v>
      </c>
      <c r="D858" s="294">
        <v>1</v>
      </c>
      <c r="E858" s="294">
        <v>1</v>
      </c>
      <c r="F858" s="300">
        <v>2.3149999999999999</v>
      </c>
      <c r="G858" s="294"/>
      <c r="H858" s="294">
        <v>2.375</v>
      </c>
      <c r="I858" s="298">
        <f t="shared" si="38"/>
        <v>54.98</v>
      </c>
      <c r="J858" s="477"/>
      <c r="K858" s="139"/>
      <c r="L858" s="139"/>
      <c r="M858" s="139"/>
      <c r="N858" s="72"/>
      <c r="O858" s="72"/>
      <c r="P858" s="72"/>
      <c r="Q858" s="72"/>
      <c r="R858" s="72"/>
      <c r="S858" s="72"/>
      <c r="T858" s="72"/>
      <c r="U858" s="72"/>
      <c r="V858" s="72"/>
      <c r="W858" s="72"/>
      <c r="X858" s="72"/>
      <c r="Y858" s="72"/>
      <c r="Z858" s="72"/>
      <c r="AA858" s="72"/>
      <c r="AB858" s="72"/>
      <c r="AC858" s="72"/>
      <c r="AD858" s="72"/>
    </row>
    <row r="859" spans="1:30" s="137" customFormat="1" ht="21.75" customHeight="1">
      <c r="A859" s="294"/>
      <c r="B859" s="297" t="s">
        <v>721</v>
      </c>
      <c r="C859" s="294">
        <v>10</v>
      </c>
      <c r="D859" s="294">
        <v>1</v>
      </c>
      <c r="E859" s="294">
        <v>1</v>
      </c>
      <c r="F859" s="300">
        <v>3.3149999999999999</v>
      </c>
      <c r="G859" s="294"/>
      <c r="H859" s="294">
        <v>2.375</v>
      </c>
      <c r="I859" s="298">
        <f t="shared" si="38"/>
        <v>78.73</v>
      </c>
      <c r="J859" s="479"/>
      <c r="K859" s="138"/>
      <c r="L859" s="138"/>
      <c r="M859" s="138"/>
      <c r="N859" s="136"/>
      <c r="O859" s="136"/>
      <c r="P859" s="136"/>
      <c r="Q859" s="136"/>
      <c r="R859" s="136"/>
      <c r="S859" s="136"/>
      <c r="T859" s="136"/>
      <c r="U859" s="136"/>
      <c r="V859" s="136"/>
      <c r="W859" s="136"/>
      <c r="X859" s="136"/>
      <c r="Y859" s="136"/>
      <c r="Z859" s="136"/>
      <c r="AA859" s="136"/>
      <c r="AB859" s="136"/>
      <c r="AC859" s="136"/>
      <c r="AD859" s="136"/>
    </row>
    <row r="860" spans="1:30" s="137" customFormat="1" ht="21.75" customHeight="1">
      <c r="A860" s="294"/>
      <c r="B860" s="297" t="s">
        <v>720</v>
      </c>
      <c r="C860" s="294">
        <v>10</v>
      </c>
      <c r="D860" s="294">
        <v>1</v>
      </c>
      <c r="E860" s="294">
        <v>1</v>
      </c>
      <c r="F860" s="295">
        <v>1.2</v>
      </c>
      <c r="G860" s="294"/>
      <c r="H860" s="294">
        <v>2.375</v>
      </c>
      <c r="I860" s="298">
        <f t="shared" si="38"/>
        <v>28.5</v>
      </c>
      <c r="J860" s="479"/>
      <c r="K860" s="138"/>
      <c r="L860" s="138"/>
      <c r="M860" s="138"/>
      <c r="N860" s="136"/>
      <c r="O860" s="136"/>
      <c r="P860" s="136"/>
      <c r="Q860" s="136"/>
      <c r="R860" s="136"/>
      <c r="S860" s="136"/>
      <c r="T860" s="136"/>
      <c r="U860" s="136"/>
      <c r="V860" s="136"/>
      <c r="W860" s="136"/>
      <c r="X860" s="136"/>
      <c r="Y860" s="136"/>
      <c r="Z860" s="136"/>
      <c r="AA860" s="136"/>
      <c r="AB860" s="136"/>
      <c r="AC860" s="136"/>
      <c r="AD860" s="136"/>
    </row>
    <row r="861" spans="1:30" s="137" customFormat="1" ht="21.75" customHeight="1">
      <c r="A861" s="294"/>
      <c r="B861" s="297" t="s">
        <v>70</v>
      </c>
      <c r="C861" s="294">
        <v>-10</v>
      </c>
      <c r="D861" s="294">
        <v>1</v>
      </c>
      <c r="E861" s="294">
        <v>1</v>
      </c>
      <c r="F861" s="300">
        <v>0.75</v>
      </c>
      <c r="G861" s="294"/>
      <c r="H861" s="295">
        <v>2.1</v>
      </c>
      <c r="I861" s="298">
        <f t="shared" si="38"/>
        <v>-15.75</v>
      </c>
      <c r="J861" s="479"/>
      <c r="K861" s="138"/>
      <c r="L861" s="138"/>
      <c r="M861" s="138"/>
      <c r="N861" s="136"/>
      <c r="O861" s="136"/>
      <c r="P861" s="136"/>
      <c r="Q861" s="136"/>
      <c r="R861" s="136"/>
      <c r="S861" s="136"/>
      <c r="T861" s="136"/>
      <c r="U861" s="136"/>
      <c r="V861" s="136"/>
      <c r="W861" s="136"/>
      <c r="X861" s="136"/>
      <c r="Y861" s="136"/>
      <c r="Z861" s="136"/>
      <c r="AA861" s="136"/>
      <c r="AB861" s="136"/>
      <c r="AC861" s="136"/>
      <c r="AD861" s="136"/>
    </row>
    <row r="862" spans="1:30" s="137" customFormat="1" ht="21.75" customHeight="1">
      <c r="A862" s="294"/>
      <c r="B862" s="297" t="s">
        <v>719</v>
      </c>
      <c r="C862" s="294">
        <v>10</v>
      </c>
      <c r="D862" s="294">
        <v>1</v>
      </c>
      <c r="E862" s="294">
        <v>1</v>
      </c>
      <c r="F862" s="300">
        <v>1.5</v>
      </c>
      <c r="G862" s="294"/>
      <c r="H862" s="294">
        <v>2.65</v>
      </c>
      <c r="I862" s="298">
        <f t="shared" si="38"/>
        <v>39.75</v>
      </c>
      <c r="J862" s="479"/>
      <c r="K862" s="138"/>
      <c r="L862" s="138"/>
      <c r="M862" s="138"/>
      <c r="N862" s="136"/>
      <c r="O862" s="136"/>
      <c r="P862" s="136"/>
      <c r="Q862" s="136"/>
      <c r="R862" s="136"/>
      <c r="S862" s="136"/>
      <c r="T862" s="136"/>
      <c r="U862" s="136"/>
      <c r="V862" s="136"/>
      <c r="W862" s="136"/>
      <c r="X862" s="136"/>
      <c r="Y862" s="136"/>
      <c r="Z862" s="136"/>
      <c r="AA862" s="136"/>
      <c r="AB862" s="136"/>
      <c r="AC862" s="136"/>
      <c r="AD862" s="136"/>
    </row>
    <row r="863" spans="1:30" s="137" customFormat="1" ht="21.75" customHeight="1">
      <c r="A863" s="294"/>
      <c r="B863" s="297" t="s">
        <v>140</v>
      </c>
      <c r="C863" s="294">
        <v>-10</v>
      </c>
      <c r="D863" s="294">
        <v>1</v>
      </c>
      <c r="E863" s="294">
        <v>1</v>
      </c>
      <c r="F863" s="300">
        <v>1</v>
      </c>
      <c r="G863" s="294"/>
      <c r="H863" s="295">
        <v>2.1</v>
      </c>
      <c r="I863" s="298">
        <f t="shared" si="38"/>
        <v>-21</v>
      </c>
      <c r="J863" s="479"/>
      <c r="K863" s="138"/>
      <c r="L863" s="138"/>
      <c r="M863" s="138"/>
      <c r="N863" s="136"/>
      <c r="O863" s="136"/>
      <c r="P863" s="136"/>
      <c r="Q863" s="136"/>
      <c r="R863" s="136"/>
      <c r="S863" s="136"/>
      <c r="T863" s="136"/>
      <c r="U863" s="136"/>
      <c r="V863" s="136"/>
      <c r="W863" s="136"/>
      <c r="X863" s="136"/>
      <c r="Y863" s="136"/>
      <c r="Z863" s="136"/>
      <c r="AA863" s="136"/>
      <c r="AB863" s="136"/>
      <c r="AC863" s="136"/>
      <c r="AD863" s="136"/>
    </row>
    <row r="864" spans="1:30" s="71" customFormat="1" ht="25.5" customHeight="1">
      <c r="A864" s="294"/>
      <c r="B864" s="297" t="s">
        <v>718</v>
      </c>
      <c r="C864" s="294">
        <v>1</v>
      </c>
      <c r="D864" s="294">
        <v>1</v>
      </c>
      <c r="E864" s="294">
        <v>2</v>
      </c>
      <c r="F864" s="300">
        <v>2.83</v>
      </c>
      <c r="G864" s="346"/>
      <c r="H864" s="300">
        <v>2.65</v>
      </c>
      <c r="I864" s="298">
        <f t="shared" si="38"/>
        <v>15</v>
      </c>
      <c r="J864" s="303"/>
      <c r="K864" s="72"/>
      <c r="L864" s="72"/>
      <c r="M864" s="72"/>
      <c r="N864" s="72"/>
      <c r="O864" s="72"/>
      <c r="P864" s="72"/>
      <c r="Q864" s="72"/>
      <c r="R864" s="72"/>
      <c r="S864" s="72"/>
      <c r="T864" s="72"/>
      <c r="U864" s="72"/>
      <c r="V864" s="72"/>
      <c r="W864" s="72"/>
      <c r="X864" s="72"/>
      <c r="Y864" s="72"/>
      <c r="Z864" s="72"/>
      <c r="AA864" s="72"/>
      <c r="AB864" s="72"/>
      <c r="AC864" s="72"/>
      <c r="AD864" s="72"/>
    </row>
    <row r="865" spans="1:30" s="71" customFormat="1" ht="25.5" customHeight="1">
      <c r="A865" s="294"/>
      <c r="B865" s="297" t="s">
        <v>717</v>
      </c>
      <c r="C865" s="294">
        <v>1</v>
      </c>
      <c r="D865" s="294">
        <v>1</v>
      </c>
      <c r="E865" s="294">
        <v>2</v>
      </c>
      <c r="F865" s="300">
        <v>1.1499999999999999</v>
      </c>
      <c r="G865" s="346"/>
      <c r="H865" s="300">
        <v>2.65</v>
      </c>
      <c r="I865" s="298">
        <f t="shared" si="38"/>
        <v>6.1</v>
      </c>
      <c r="J865" s="303"/>
      <c r="K865" s="72"/>
      <c r="L865" s="72"/>
      <c r="M865" s="72"/>
      <c r="N865" s="72"/>
      <c r="O865" s="72"/>
      <c r="P865" s="72"/>
      <c r="Q865" s="72"/>
      <c r="R865" s="72"/>
      <c r="S865" s="72"/>
      <c r="T865" s="72"/>
      <c r="U865" s="72"/>
      <c r="V865" s="72"/>
      <c r="W865" s="72"/>
      <c r="X865" s="72"/>
      <c r="Y865" s="72"/>
      <c r="Z865" s="72"/>
      <c r="AA865" s="72"/>
      <c r="AB865" s="72"/>
      <c r="AC865" s="72"/>
      <c r="AD865" s="72"/>
    </row>
    <row r="866" spans="1:30" s="71" customFormat="1" ht="25.5" customHeight="1">
      <c r="A866" s="294"/>
      <c r="B866" s="297" t="s">
        <v>140</v>
      </c>
      <c r="C866" s="294">
        <v>-1</v>
      </c>
      <c r="D866" s="294">
        <v>1</v>
      </c>
      <c r="E866" s="294">
        <v>1</v>
      </c>
      <c r="F866" s="300">
        <v>1</v>
      </c>
      <c r="G866" s="346"/>
      <c r="H866" s="300">
        <v>2.1</v>
      </c>
      <c r="I866" s="298">
        <f t="shared" si="38"/>
        <v>-2.1</v>
      </c>
      <c r="J866" s="303"/>
      <c r="K866" s="72"/>
      <c r="L866" s="72"/>
      <c r="M866" s="72"/>
      <c r="N866" s="72"/>
      <c r="O866" s="72"/>
      <c r="P866" s="72"/>
      <c r="Q866" s="72"/>
      <c r="R866" s="72"/>
      <c r="S866" s="72"/>
      <c r="T866" s="72"/>
      <c r="U866" s="72"/>
      <c r="V866" s="72"/>
      <c r="W866" s="72"/>
      <c r="X866" s="72"/>
      <c r="Y866" s="72"/>
      <c r="Z866" s="72"/>
      <c r="AA866" s="72"/>
      <c r="AB866" s="72"/>
      <c r="AC866" s="72"/>
      <c r="AD866" s="72"/>
    </row>
    <row r="867" spans="1:30" s="71" customFormat="1" ht="21.75" customHeight="1">
      <c r="A867" s="294"/>
      <c r="B867" s="297" t="s">
        <v>716</v>
      </c>
      <c r="C867" s="294">
        <v>10</v>
      </c>
      <c r="D867" s="294">
        <v>1</v>
      </c>
      <c r="E867" s="294">
        <v>1</v>
      </c>
      <c r="F867" s="295">
        <v>0.6</v>
      </c>
      <c r="G867" s="294"/>
      <c r="H867" s="294">
        <v>0.75</v>
      </c>
      <c r="I867" s="298">
        <f t="shared" si="38"/>
        <v>4.5</v>
      </c>
      <c r="J867" s="303"/>
      <c r="K867" s="72"/>
      <c r="L867" s="72"/>
      <c r="M867" s="72"/>
      <c r="N867" s="72"/>
      <c r="O867" s="72"/>
      <c r="P867" s="72"/>
      <c r="Q867" s="72"/>
      <c r="R867" s="72"/>
      <c r="S867" s="72"/>
      <c r="T867" s="72"/>
      <c r="U867" s="72"/>
      <c r="V867" s="72"/>
      <c r="W867" s="72"/>
      <c r="X867" s="72"/>
      <c r="Y867" s="72"/>
      <c r="Z867" s="72"/>
      <c r="AA867" s="72"/>
      <c r="AB867" s="72"/>
      <c r="AC867" s="72"/>
      <c r="AD867" s="72"/>
    </row>
    <row r="868" spans="1:30" s="71" customFormat="1" ht="21.75" customHeight="1">
      <c r="A868" s="294"/>
      <c r="B868" s="293" t="s">
        <v>715</v>
      </c>
      <c r="C868" s="294">
        <v>10</v>
      </c>
      <c r="D868" s="294">
        <v>1</v>
      </c>
      <c r="E868" s="294">
        <v>1</v>
      </c>
      <c r="F868" s="295">
        <v>0.55000000000000004</v>
      </c>
      <c r="G868" s="294"/>
      <c r="H868" s="294">
        <v>0.75</v>
      </c>
      <c r="I868" s="298">
        <f t="shared" si="38"/>
        <v>4.13</v>
      </c>
      <c r="J868" s="303"/>
      <c r="K868" s="72"/>
      <c r="L868" s="72"/>
      <c r="M868" s="72"/>
      <c r="N868" s="72"/>
      <c r="O868" s="72"/>
      <c r="P868" s="72"/>
      <c r="Q868" s="72"/>
      <c r="R868" s="72"/>
      <c r="S868" s="72"/>
      <c r="T868" s="72"/>
      <c r="U868" s="72"/>
      <c r="V868" s="72"/>
      <c r="W868" s="72"/>
      <c r="X868" s="72"/>
      <c r="Y868" s="72"/>
      <c r="Z868" s="72"/>
      <c r="AA868" s="72"/>
      <c r="AB868" s="72"/>
      <c r="AC868" s="72"/>
      <c r="AD868" s="72"/>
    </row>
    <row r="869" spans="1:30" s="71" customFormat="1" ht="21.75" customHeight="1">
      <c r="A869" s="294"/>
      <c r="B869" s="293" t="s">
        <v>715</v>
      </c>
      <c r="C869" s="294">
        <v>10</v>
      </c>
      <c r="D869" s="294">
        <v>1</v>
      </c>
      <c r="E869" s="294">
        <v>1</v>
      </c>
      <c r="F869" s="294">
        <v>0.55000000000000004</v>
      </c>
      <c r="G869" s="294"/>
      <c r="H869" s="294">
        <v>0.75</v>
      </c>
      <c r="I869" s="298">
        <f t="shared" si="38"/>
        <v>4.13</v>
      </c>
      <c r="J869" s="303"/>
      <c r="K869" s="72"/>
      <c r="L869" s="72"/>
      <c r="M869" s="72"/>
      <c r="N869" s="72"/>
      <c r="O869" s="72"/>
      <c r="P869" s="72"/>
      <c r="Q869" s="72"/>
      <c r="R869" s="72"/>
      <c r="S869" s="72"/>
      <c r="T869" s="72"/>
      <c r="U869" s="72"/>
      <c r="V869" s="72"/>
      <c r="W869" s="72"/>
      <c r="X869" s="72"/>
      <c r="Y869" s="72"/>
      <c r="Z869" s="72"/>
      <c r="AA869" s="72"/>
      <c r="AB869" s="72"/>
      <c r="AC869" s="72"/>
      <c r="AD869" s="72"/>
    </row>
    <row r="870" spans="1:30" s="71" customFormat="1" ht="21.75" customHeight="1">
      <c r="A870" s="294"/>
      <c r="B870" s="293" t="s">
        <v>714</v>
      </c>
      <c r="C870" s="294">
        <v>10</v>
      </c>
      <c r="D870" s="294">
        <v>1</v>
      </c>
      <c r="E870" s="294">
        <v>1</v>
      </c>
      <c r="F870" s="295">
        <v>1.2</v>
      </c>
      <c r="G870" s="295"/>
      <c r="H870" s="295">
        <v>0.35</v>
      </c>
      <c r="I870" s="298">
        <f t="shared" si="38"/>
        <v>4.2</v>
      </c>
      <c r="J870" s="303"/>
      <c r="K870" s="72"/>
      <c r="L870" s="72"/>
      <c r="M870" s="72"/>
      <c r="N870" s="72"/>
      <c r="O870" s="72"/>
      <c r="P870" s="72"/>
      <c r="Q870" s="72"/>
      <c r="R870" s="72"/>
      <c r="S870" s="72"/>
      <c r="T870" s="72"/>
      <c r="U870" s="72"/>
      <c r="V870" s="72"/>
      <c r="W870" s="72"/>
      <c r="X870" s="72"/>
      <c r="Y870" s="72"/>
      <c r="Z870" s="72"/>
      <c r="AA870" s="72"/>
      <c r="AB870" s="72"/>
      <c r="AC870" s="72"/>
      <c r="AD870" s="72"/>
    </row>
    <row r="871" spans="1:30" s="71" customFormat="1" ht="21.75" customHeight="1">
      <c r="A871" s="294"/>
      <c r="B871" s="293" t="s">
        <v>713</v>
      </c>
      <c r="C871" s="294">
        <v>10</v>
      </c>
      <c r="D871" s="294">
        <v>1</v>
      </c>
      <c r="E871" s="294">
        <v>1</v>
      </c>
      <c r="F871" s="294">
        <v>0.45</v>
      </c>
      <c r="G871" s="294"/>
      <c r="H871" s="294">
        <v>0.75</v>
      </c>
      <c r="I871" s="298">
        <f t="shared" si="38"/>
        <v>3.38</v>
      </c>
      <c r="J871" s="303"/>
      <c r="K871" s="72"/>
      <c r="L871" s="72"/>
      <c r="M871" s="72"/>
      <c r="N871" s="72"/>
      <c r="O871" s="72"/>
      <c r="P871" s="72"/>
      <c r="Q871" s="72"/>
      <c r="R871" s="72"/>
      <c r="S871" s="72"/>
      <c r="T871" s="72"/>
      <c r="U871" s="72"/>
      <c r="V871" s="72"/>
      <c r="W871" s="72"/>
      <c r="X871" s="72"/>
      <c r="Y871" s="72"/>
      <c r="Z871" s="72"/>
      <c r="AA871" s="72"/>
      <c r="AB871" s="72"/>
      <c r="AC871" s="72"/>
      <c r="AD871" s="72"/>
    </row>
    <row r="872" spans="1:30" s="71" customFormat="1" ht="21.75" customHeight="1">
      <c r="A872" s="294"/>
      <c r="B872" s="293" t="s">
        <v>712</v>
      </c>
      <c r="C872" s="294">
        <v>10</v>
      </c>
      <c r="D872" s="294">
        <v>1</v>
      </c>
      <c r="E872" s="294">
        <v>1</v>
      </c>
      <c r="F872" s="295">
        <v>1.2</v>
      </c>
      <c r="G872" s="294"/>
      <c r="H872" s="294">
        <v>0.25</v>
      </c>
      <c r="I872" s="298">
        <f t="shared" si="38"/>
        <v>3</v>
      </c>
      <c r="J872" s="303"/>
      <c r="K872" s="72"/>
      <c r="L872" s="72"/>
      <c r="M872" s="72"/>
      <c r="N872" s="72"/>
      <c r="O872" s="72"/>
      <c r="P872" s="72"/>
      <c r="Q872" s="72"/>
      <c r="R872" s="72"/>
      <c r="S872" s="72"/>
      <c r="T872" s="72"/>
      <c r="U872" s="72"/>
      <c r="V872" s="72"/>
      <c r="W872" s="72"/>
      <c r="X872" s="72"/>
      <c r="Y872" s="72"/>
      <c r="Z872" s="72"/>
      <c r="AA872" s="72"/>
      <c r="AB872" s="72"/>
      <c r="AC872" s="72"/>
      <c r="AD872" s="72"/>
    </row>
    <row r="873" spans="1:30" s="53" customFormat="1" ht="21" customHeight="1">
      <c r="A873" s="316"/>
      <c r="B873" s="316" t="s">
        <v>710</v>
      </c>
      <c r="C873" s="316"/>
      <c r="D873" s="316"/>
      <c r="E873" s="316"/>
      <c r="F873" s="316"/>
      <c r="G873" s="316"/>
      <c r="H873" s="316"/>
      <c r="I873" s="298"/>
      <c r="J873" s="294"/>
      <c r="K873" s="54"/>
      <c r="L873" s="54"/>
      <c r="M873" s="54"/>
      <c r="N873" s="54"/>
      <c r="O873" s="54"/>
      <c r="P873" s="54"/>
      <c r="Q873" s="54"/>
      <c r="R873" s="54"/>
      <c r="S873" s="54"/>
      <c r="T873" s="54"/>
      <c r="U873" s="54"/>
      <c r="V873" s="54"/>
      <c r="W873" s="54"/>
      <c r="X873" s="54"/>
      <c r="Y873" s="54"/>
      <c r="Z873" s="54"/>
      <c r="AA873" s="54"/>
      <c r="AB873" s="54"/>
      <c r="AC873" s="54"/>
      <c r="AD873" s="54"/>
    </row>
    <row r="874" spans="1:30" s="53" customFormat="1" ht="21" customHeight="1">
      <c r="A874" s="294"/>
      <c r="B874" s="293" t="s">
        <v>463</v>
      </c>
      <c r="C874" s="294">
        <v>1</v>
      </c>
      <c r="D874" s="307">
        <v>1</v>
      </c>
      <c r="E874" s="294">
        <v>1</v>
      </c>
      <c r="F874" s="295">
        <v>13.62</v>
      </c>
      <c r="G874" s="295"/>
      <c r="H874" s="295">
        <v>0.95</v>
      </c>
      <c r="I874" s="298">
        <f>PRODUCT(C874:H874)</f>
        <v>12.94</v>
      </c>
      <c r="J874" s="294"/>
      <c r="K874" s="54"/>
      <c r="L874" s="54"/>
      <c r="M874" s="54"/>
      <c r="N874" s="54"/>
      <c r="O874" s="54"/>
      <c r="P874" s="54"/>
      <c r="Q874" s="54"/>
      <c r="R874" s="54"/>
      <c r="S874" s="54"/>
      <c r="T874" s="54"/>
      <c r="U874" s="54"/>
      <c r="V874" s="54"/>
      <c r="W874" s="54"/>
      <c r="X874" s="54"/>
      <c r="Y874" s="54"/>
      <c r="Z874" s="54"/>
      <c r="AA874" s="54"/>
      <c r="AB874" s="54"/>
      <c r="AC874" s="54"/>
      <c r="AD874" s="54"/>
    </row>
    <row r="875" spans="1:30" s="53" customFormat="1" ht="21" customHeight="1">
      <c r="A875" s="294"/>
      <c r="B875" s="293" t="s">
        <v>709</v>
      </c>
      <c r="C875" s="294">
        <v>1</v>
      </c>
      <c r="D875" s="307">
        <v>1</v>
      </c>
      <c r="E875" s="294">
        <v>24</v>
      </c>
      <c r="F875" s="300">
        <v>1</v>
      </c>
      <c r="G875" s="295"/>
      <c r="H875" s="295">
        <v>0.95</v>
      </c>
      <c r="I875" s="298">
        <f>PRODUCT(C875:H875)</f>
        <v>22.8</v>
      </c>
      <c r="J875" s="294"/>
      <c r="K875" s="54"/>
      <c r="L875" s="54"/>
      <c r="M875" s="54"/>
      <c r="N875" s="54"/>
      <c r="O875" s="54"/>
      <c r="P875" s="54"/>
      <c r="Q875" s="54"/>
      <c r="R875" s="54"/>
      <c r="S875" s="54"/>
      <c r="T875" s="54"/>
      <c r="U875" s="54"/>
      <c r="V875" s="54"/>
      <c r="W875" s="54"/>
      <c r="X875" s="54"/>
      <c r="Y875" s="54"/>
      <c r="Z875" s="54"/>
      <c r="AA875" s="54"/>
      <c r="AB875" s="54"/>
      <c r="AC875" s="54"/>
      <c r="AD875" s="54"/>
    </row>
    <row r="876" spans="1:30" s="33" customFormat="1" ht="21" customHeight="1">
      <c r="A876" s="278"/>
      <c r="B876" s="286"/>
      <c r="C876" s="280"/>
      <c r="D876" s="280"/>
      <c r="E876" s="280"/>
      <c r="F876" s="282"/>
      <c r="G876" s="282"/>
      <c r="H876" s="415"/>
      <c r="I876" s="416">
        <f>SUM(I847:I875)</f>
        <v>508.27</v>
      </c>
      <c r="J876" s="340" t="s">
        <v>4</v>
      </c>
      <c r="K876" s="39"/>
      <c r="L876" s="39"/>
      <c r="M876" s="39"/>
      <c r="N876" s="34"/>
      <c r="O876" s="34"/>
      <c r="P876" s="34"/>
      <c r="Q876" s="34"/>
      <c r="R876" s="34"/>
      <c r="S876" s="34"/>
      <c r="T876" s="34"/>
      <c r="U876" s="34"/>
      <c r="V876" s="34"/>
      <c r="W876" s="34"/>
      <c r="X876" s="34"/>
      <c r="Y876" s="34"/>
      <c r="Z876" s="34"/>
      <c r="AA876" s="34"/>
      <c r="AB876" s="34"/>
      <c r="AC876" s="34"/>
      <c r="AD876" s="34"/>
    </row>
    <row r="877" spans="1:30" s="33" customFormat="1" ht="21" customHeight="1">
      <c r="A877" s="278"/>
      <c r="B877" s="286"/>
      <c r="C877" s="280"/>
      <c r="D877" s="280"/>
      <c r="E877" s="280"/>
      <c r="F877" s="282"/>
      <c r="G877" s="282"/>
      <c r="H877" s="415" t="s">
        <v>55</v>
      </c>
      <c r="I877" s="416">
        <f>ROUNDUP(I876,0)</f>
        <v>509</v>
      </c>
      <c r="J877" s="343" t="s">
        <v>4</v>
      </c>
      <c r="K877" s="44"/>
      <c r="L877" s="44"/>
      <c r="M877" s="44"/>
      <c r="N877" s="34"/>
      <c r="O877" s="34"/>
      <c r="P877" s="34"/>
      <c r="Q877" s="34"/>
      <c r="R877" s="34"/>
      <c r="S877" s="34"/>
      <c r="T877" s="34"/>
      <c r="U877" s="34"/>
      <c r="V877" s="34"/>
      <c r="W877" s="34"/>
      <c r="X877" s="34"/>
      <c r="Y877" s="34"/>
      <c r="Z877" s="34"/>
      <c r="AA877" s="34"/>
      <c r="AB877" s="34"/>
      <c r="AC877" s="34"/>
      <c r="AD877" s="34"/>
    </row>
    <row r="878" spans="1:30" s="2" customFormat="1" ht="23.25" customHeight="1">
      <c r="A878" s="288">
        <v>11.2</v>
      </c>
      <c r="B878" s="286" t="s">
        <v>708</v>
      </c>
      <c r="C878" s="280"/>
      <c r="D878" s="280"/>
      <c r="E878" s="280"/>
      <c r="F878" s="282"/>
      <c r="G878" s="282"/>
      <c r="H878" s="415"/>
      <c r="I878" s="416"/>
      <c r="J878" s="284"/>
      <c r="K878" s="43"/>
      <c r="L878" s="43"/>
      <c r="M878" s="43"/>
      <c r="N878" s="9"/>
      <c r="O878" s="9"/>
      <c r="P878" s="9"/>
      <c r="Q878" s="9"/>
      <c r="R878" s="9"/>
      <c r="S878" s="9"/>
      <c r="T878" s="9"/>
      <c r="U878" s="9"/>
      <c r="V878" s="9"/>
      <c r="W878" s="9"/>
      <c r="X878" s="9"/>
      <c r="Y878" s="9"/>
      <c r="Z878" s="9"/>
      <c r="AA878" s="9"/>
      <c r="AB878" s="9"/>
      <c r="AC878" s="9"/>
      <c r="AD878" s="9"/>
    </row>
    <row r="879" spans="1:30" s="2" customFormat="1" ht="23.25" customHeight="1">
      <c r="A879" s="426"/>
      <c r="B879" s="286" t="s">
        <v>1618</v>
      </c>
      <c r="C879" s="280"/>
      <c r="D879" s="280"/>
      <c r="E879" s="280"/>
      <c r="F879" s="282"/>
      <c r="G879" s="282"/>
      <c r="H879" s="421"/>
      <c r="I879" s="420"/>
      <c r="J879" s="284"/>
      <c r="K879" s="43"/>
      <c r="L879" s="43"/>
      <c r="M879" s="43"/>
      <c r="N879" s="9"/>
      <c r="O879" s="9"/>
      <c r="P879" s="9"/>
      <c r="Q879" s="9"/>
      <c r="R879" s="9"/>
      <c r="S879" s="9"/>
      <c r="T879" s="9"/>
      <c r="U879" s="9"/>
      <c r="V879" s="9"/>
      <c r="W879" s="9"/>
      <c r="X879" s="9"/>
      <c r="Y879" s="9"/>
      <c r="Z879" s="9"/>
      <c r="AA879" s="9"/>
      <c r="AB879" s="9"/>
      <c r="AC879" s="9"/>
      <c r="AD879" s="9"/>
    </row>
    <row r="880" spans="1:30" s="2" customFormat="1" ht="23.25" customHeight="1">
      <c r="A880" s="426"/>
      <c r="B880" s="286" t="s">
        <v>1404</v>
      </c>
      <c r="C880" s="280">
        <v>1</v>
      </c>
      <c r="D880" s="280">
        <v>2</v>
      </c>
      <c r="E880" s="280">
        <v>2</v>
      </c>
      <c r="F880" s="282">
        <v>0.45</v>
      </c>
      <c r="G880" s="282"/>
      <c r="H880" s="421">
        <v>2.1</v>
      </c>
      <c r="I880" s="482">
        <f>PRODUCT(C880:H880)</f>
        <v>3.78</v>
      </c>
      <c r="J880" s="284"/>
      <c r="K880" s="43"/>
      <c r="L880" s="43"/>
      <c r="M880" s="43"/>
      <c r="N880" s="9"/>
      <c r="O880" s="9"/>
      <c r="P880" s="9"/>
      <c r="Q880" s="9"/>
      <c r="R880" s="9"/>
      <c r="S880" s="9"/>
      <c r="T880" s="9"/>
      <c r="U880" s="9"/>
      <c r="V880" s="9"/>
      <c r="W880" s="9"/>
      <c r="X880" s="9"/>
      <c r="Y880" s="9"/>
      <c r="Z880" s="9"/>
      <c r="AA880" s="9"/>
      <c r="AB880" s="9"/>
      <c r="AC880" s="9"/>
      <c r="AD880" s="9"/>
    </row>
    <row r="881" spans="1:30" s="2" customFormat="1" ht="23.25" customHeight="1">
      <c r="A881" s="426"/>
      <c r="B881" s="286"/>
      <c r="C881" s="280"/>
      <c r="D881" s="280"/>
      <c r="E881" s="280"/>
      <c r="F881" s="282"/>
      <c r="G881" s="282"/>
      <c r="H881" s="421" t="s">
        <v>55</v>
      </c>
      <c r="I881" s="420">
        <f>ROUNDUP(I880,1)</f>
        <v>3.8</v>
      </c>
      <c r="J881" s="343" t="s">
        <v>4</v>
      </c>
      <c r="K881" s="43"/>
      <c r="L881" s="43"/>
      <c r="M881" s="43"/>
      <c r="N881" s="9"/>
      <c r="O881" s="9"/>
      <c r="P881" s="9"/>
      <c r="Q881" s="9"/>
      <c r="R881" s="9"/>
      <c r="S881" s="9"/>
      <c r="T881" s="9"/>
      <c r="U881" s="9"/>
      <c r="V881" s="9"/>
      <c r="W881" s="9"/>
      <c r="X881" s="9"/>
      <c r="Y881" s="9"/>
      <c r="Z881" s="9"/>
      <c r="AA881" s="9"/>
      <c r="AB881" s="9"/>
      <c r="AC881" s="9"/>
      <c r="AD881" s="9"/>
    </row>
    <row r="882" spans="1:30" s="2" customFormat="1" ht="23.25" customHeight="1">
      <c r="A882" s="426"/>
      <c r="B882" s="286"/>
      <c r="C882" s="280"/>
      <c r="D882" s="280"/>
      <c r="E882" s="280"/>
      <c r="F882" s="282"/>
      <c r="G882" s="282"/>
      <c r="H882" s="421"/>
      <c r="I882" s="420"/>
      <c r="J882" s="284"/>
      <c r="K882" s="43"/>
      <c r="L882" s="43"/>
      <c r="M882" s="43"/>
      <c r="N882" s="9"/>
      <c r="O882" s="9"/>
      <c r="P882" s="9"/>
      <c r="Q882" s="9"/>
      <c r="R882" s="9"/>
      <c r="S882" s="9"/>
      <c r="T882" s="9"/>
      <c r="U882" s="9"/>
      <c r="V882" s="9"/>
      <c r="W882" s="9"/>
      <c r="X882" s="9"/>
      <c r="Y882" s="9"/>
      <c r="Z882" s="9"/>
      <c r="AA882" s="9"/>
      <c r="AB882" s="9"/>
      <c r="AC882" s="9"/>
      <c r="AD882" s="9"/>
    </row>
    <row r="883" spans="1:30" s="2" customFormat="1" ht="23.25" customHeight="1">
      <c r="A883" s="278"/>
      <c r="B883" s="286" t="s">
        <v>698</v>
      </c>
      <c r="C883" s="280"/>
      <c r="D883" s="280"/>
      <c r="E883" s="280"/>
      <c r="F883" s="282"/>
      <c r="G883" s="282"/>
      <c r="H883" s="282"/>
      <c r="I883" s="283"/>
      <c r="J883" s="284"/>
      <c r="K883" s="43"/>
      <c r="L883" s="43"/>
      <c r="M883" s="43"/>
      <c r="N883" s="9"/>
      <c r="O883" s="9"/>
      <c r="P883" s="9"/>
      <c r="Q883" s="9"/>
      <c r="R883" s="9"/>
      <c r="S883" s="9"/>
      <c r="T883" s="9"/>
      <c r="U883" s="9"/>
      <c r="V883" s="9"/>
      <c r="W883" s="9"/>
      <c r="X883" s="9"/>
      <c r="Y883" s="9"/>
      <c r="Z883" s="9"/>
      <c r="AA883" s="9"/>
      <c r="AB883" s="9"/>
      <c r="AC883" s="9"/>
      <c r="AD883" s="9"/>
    </row>
    <row r="884" spans="1:30" s="71" customFormat="1" ht="19.5" customHeight="1">
      <c r="A884" s="294"/>
      <c r="B884" s="297" t="s">
        <v>707</v>
      </c>
      <c r="C884" s="294">
        <v>10</v>
      </c>
      <c r="D884" s="294">
        <v>1</v>
      </c>
      <c r="E884" s="294">
        <v>3</v>
      </c>
      <c r="F884" s="295">
        <v>0.45</v>
      </c>
      <c r="G884" s="294"/>
      <c r="H884" s="295">
        <v>2.1</v>
      </c>
      <c r="I884" s="323">
        <f t="shared" ref="I884:I890" si="39">PRODUCT(C884:H884)</f>
        <v>28.35</v>
      </c>
      <c r="J884" s="303"/>
      <c r="K884" s="72"/>
      <c r="L884" s="72"/>
      <c r="M884" s="72"/>
      <c r="N884" s="72"/>
      <c r="O884" s="72"/>
      <c r="P884" s="72"/>
      <c r="Q884" s="72"/>
      <c r="R884" s="72"/>
      <c r="S884" s="72"/>
      <c r="T884" s="72"/>
      <c r="U884" s="72"/>
      <c r="V884" s="72"/>
      <c r="W884" s="72"/>
      <c r="X884" s="72"/>
      <c r="Y884" s="72"/>
      <c r="Z884" s="72"/>
      <c r="AA884" s="72"/>
      <c r="AB884" s="72"/>
      <c r="AC884" s="72"/>
      <c r="AD884" s="72"/>
    </row>
    <row r="885" spans="1:30" s="71" customFormat="1" ht="19.5" customHeight="1">
      <c r="A885" s="294"/>
      <c r="B885" s="297" t="s">
        <v>706</v>
      </c>
      <c r="C885" s="294">
        <v>10</v>
      </c>
      <c r="D885" s="294">
        <v>1</v>
      </c>
      <c r="E885" s="294">
        <v>2</v>
      </c>
      <c r="F885" s="295">
        <v>0.6</v>
      </c>
      <c r="G885" s="294"/>
      <c r="H885" s="295">
        <v>2.1</v>
      </c>
      <c r="I885" s="323">
        <f t="shared" si="39"/>
        <v>25.2</v>
      </c>
      <c r="J885" s="303"/>
      <c r="K885" s="72"/>
      <c r="L885" s="72"/>
      <c r="M885" s="72"/>
      <c r="N885" s="72"/>
      <c r="O885" s="72"/>
      <c r="P885" s="72"/>
      <c r="Q885" s="72"/>
      <c r="R885" s="72"/>
      <c r="S885" s="72"/>
      <c r="T885" s="72"/>
      <c r="U885" s="72"/>
      <c r="V885" s="72"/>
      <c r="W885" s="72"/>
      <c r="X885" s="72"/>
      <c r="Y885" s="72"/>
      <c r="Z885" s="72"/>
      <c r="AA885" s="72"/>
      <c r="AB885" s="72"/>
      <c r="AC885" s="72"/>
      <c r="AD885" s="72"/>
    </row>
    <row r="886" spans="1:30" s="71" customFormat="1" ht="19.5" customHeight="1">
      <c r="A886" s="294"/>
      <c r="B886" s="297" t="s">
        <v>705</v>
      </c>
      <c r="C886" s="294">
        <v>10</v>
      </c>
      <c r="D886" s="294">
        <v>1</v>
      </c>
      <c r="E886" s="294">
        <v>1</v>
      </c>
      <c r="F886" s="295">
        <v>0.45</v>
      </c>
      <c r="G886" s="294"/>
      <c r="H886" s="295">
        <v>2.1</v>
      </c>
      <c r="I886" s="323">
        <f t="shared" si="39"/>
        <v>9.4499999999999993</v>
      </c>
      <c r="J886" s="303"/>
      <c r="K886" s="72"/>
      <c r="L886" s="72"/>
      <c r="M886" s="72"/>
      <c r="N886" s="72"/>
      <c r="O886" s="72"/>
      <c r="P886" s="72"/>
      <c r="Q886" s="72"/>
      <c r="R886" s="72"/>
      <c r="S886" s="72"/>
      <c r="T886" s="72"/>
      <c r="U886" s="72"/>
      <c r="V886" s="72"/>
      <c r="W886" s="72"/>
      <c r="X886" s="72"/>
      <c r="Y886" s="72"/>
      <c r="Z886" s="72"/>
      <c r="AA886" s="72"/>
      <c r="AB886" s="72"/>
      <c r="AC886" s="72"/>
      <c r="AD886" s="72"/>
    </row>
    <row r="887" spans="1:30" s="71" customFormat="1" ht="19.5" customHeight="1">
      <c r="A887" s="294"/>
      <c r="B887" s="297" t="s">
        <v>704</v>
      </c>
      <c r="C887" s="294">
        <v>10</v>
      </c>
      <c r="D887" s="294">
        <v>1</v>
      </c>
      <c r="E887" s="294">
        <v>3</v>
      </c>
      <c r="F887" s="295">
        <v>0.45</v>
      </c>
      <c r="G887" s="294"/>
      <c r="H887" s="295">
        <v>2.1</v>
      </c>
      <c r="I887" s="323">
        <f t="shared" si="39"/>
        <v>28.35</v>
      </c>
      <c r="J887" s="303"/>
      <c r="K887" s="72"/>
      <c r="L887" s="72"/>
      <c r="M887" s="72"/>
      <c r="N887" s="72"/>
      <c r="O887" s="72"/>
      <c r="P887" s="72"/>
      <c r="Q887" s="72"/>
      <c r="R887" s="72"/>
      <c r="S887" s="72"/>
      <c r="T887" s="72"/>
      <c r="U887" s="72"/>
      <c r="V887" s="72"/>
      <c r="W887" s="72"/>
      <c r="X887" s="72"/>
      <c r="Y887" s="72"/>
      <c r="Z887" s="72"/>
      <c r="AA887" s="72"/>
      <c r="AB887" s="72"/>
      <c r="AC887" s="72"/>
      <c r="AD887" s="72"/>
    </row>
    <row r="888" spans="1:30" s="71" customFormat="1" ht="19.5" customHeight="1">
      <c r="A888" s="294"/>
      <c r="B888" s="297" t="s">
        <v>703</v>
      </c>
      <c r="C888" s="294">
        <v>1</v>
      </c>
      <c r="D888" s="294">
        <v>10</v>
      </c>
      <c r="E888" s="294">
        <v>1</v>
      </c>
      <c r="F888" s="300">
        <v>2.915</v>
      </c>
      <c r="G888" s="294"/>
      <c r="H888" s="295">
        <v>1.2</v>
      </c>
      <c r="I888" s="323">
        <f t="shared" si="39"/>
        <v>34.979999999999997</v>
      </c>
      <c r="J888" s="303"/>
      <c r="K888" s="72"/>
      <c r="L888" s="72"/>
      <c r="M888" s="72"/>
      <c r="N888" s="72">
        <f>2.015+0.45+0.45</f>
        <v>2.915</v>
      </c>
      <c r="O888" s="72"/>
      <c r="P888" s="72"/>
      <c r="Q888" s="72"/>
      <c r="R888" s="72"/>
      <c r="S888" s="72"/>
      <c r="T888" s="72"/>
      <c r="U888" s="72"/>
      <c r="V888" s="72"/>
      <c r="W888" s="72"/>
      <c r="X888" s="72"/>
      <c r="Y888" s="72"/>
      <c r="Z888" s="72"/>
      <c r="AA888" s="72"/>
      <c r="AB888" s="72"/>
      <c r="AC888" s="72"/>
      <c r="AD888" s="72"/>
    </row>
    <row r="889" spans="1:30" s="71" customFormat="1" ht="19.5" customHeight="1">
      <c r="A889" s="294"/>
      <c r="B889" s="297" t="s">
        <v>702</v>
      </c>
      <c r="C889" s="294">
        <v>1</v>
      </c>
      <c r="D889" s="294">
        <v>10</v>
      </c>
      <c r="E889" s="294">
        <v>2</v>
      </c>
      <c r="F889" s="295">
        <v>0.45</v>
      </c>
      <c r="G889" s="294"/>
      <c r="H889" s="295">
        <v>1.2</v>
      </c>
      <c r="I889" s="323">
        <f t="shared" si="39"/>
        <v>10.8</v>
      </c>
      <c r="J889" s="303"/>
      <c r="K889" s="72"/>
      <c r="L889" s="72"/>
      <c r="M889" s="72"/>
      <c r="N889" s="72"/>
      <c r="O889" s="72"/>
      <c r="P889" s="72"/>
      <c r="Q889" s="72"/>
      <c r="R889" s="72"/>
      <c r="S889" s="72"/>
      <c r="T889" s="72"/>
      <c r="U889" s="72"/>
      <c r="V889" s="72"/>
      <c r="W889" s="72"/>
      <c r="X889" s="72"/>
      <c r="Y889" s="72"/>
      <c r="Z889" s="72"/>
      <c r="AA889" s="72"/>
      <c r="AB889" s="72"/>
      <c r="AC889" s="72"/>
      <c r="AD889" s="72"/>
    </row>
    <row r="890" spans="1:30" s="71" customFormat="1" ht="19.5" customHeight="1">
      <c r="A890" s="294"/>
      <c r="B890" s="293" t="s">
        <v>701</v>
      </c>
      <c r="C890" s="294">
        <v>10</v>
      </c>
      <c r="D890" s="294">
        <v>1</v>
      </c>
      <c r="E890" s="294">
        <v>1</v>
      </c>
      <c r="F890" s="295">
        <v>2.8</v>
      </c>
      <c r="G890" s="294"/>
      <c r="H890" s="295">
        <v>0.1</v>
      </c>
      <c r="I890" s="323">
        <f t="shared" si="39"/>
        <v>2.8</v>
      </c>
      <c r="J890" s="322"/>
      <c r="K890" s="136"/>
      <c r="L890" s="136"/>
      <c r="M890" s="136"/>
      <c r="N890" s="72"/>
      <c r="O890" s="72"/>
      <c r="P890" s="72"/>
      <c r="Q890" s="72"/>
      <c r="R890" s="72"/>
      <c r="S890" s="72"/>
      <c r="T890" s="72"/>
      <c r="U890" s="72"/>
      <c r="V890" s="72"/>
      <c r="W890" s="72"/>
      <c r="X890" s="72"/>
      <c r="Y890" s="72"/>
      <c r="Z890" s="72"/>
      <c r="AA890" s="72"/>
      <c r="AB890" s="72"/>
      <c r="AC890" s="72"/>
      <c r="AD890" s="72"/>
    </row>
    <row r="891" spans="1:30" s="2" customFormat="1" ht="23.25" customHeight="1">
      <c r="A891" s="278"/>
      <c r="B891" s="286"/>
      <c r="C891" s="280"/>
      <c r="D891" s="280"/>
      <c r="E891" s="280"/>
      <c r="F891" s="282"/>
      <c r="G891" s="282"/>
      <c r="H891" s="282"/>
      <c r="I891" s="416">
        <f>SUM(I884:I890)</f>
        <v>139.93</v>
      </c>
      <c r="J891" s="340" t="s">
        <v>4</v>
      </c>
      <c r="K891" s="39"/>
      <c r="L891" s="39"/>
      <c r="M891" s="39"/>
      <c r="N891" s="9"/>
      <c r="O891" s="9"/>
      <c r="P891" s="9"/>
      <c r="Q891" s="9"/>
      <c r="R891" s="9"/>
      <c r="S891" s="9"/>
      <c r="T891" s="9"/>
      <c r="U891" s="9"/>
      <c r="V891" s="9"/>
      <c r="W891" s="9"/>
      <c r="X891" s="9"/>
      <c r="Y891" s="9"/>
      <c r="Z891" s="9"/>
      <c r="AA891" s="9"/>
      <c r="AB891" s="9"/>
      <c r="AC891" s="9"/>
      <c r="AD891" s="9"/>
    </row>
    <row r="892" spans="1:30" s="2" customFormat="1" ht="23.25" customHeight="1">
      <c r="A892" s="278"/>
      <c r="B892" s="286"/>
      <c r="C892" s="280"/>
      <c r="D892" s="280"/>
      <c r="E892" s="280"/>
      <c r="F892" s="282"/>
      <c r="G892" s="282"/>
      <c r="H892" s="415" t="s">
        <v>55</v>
      </c>
      <c r="I892" s="416">
        <f>ROUNDUP(I891,0)</f>
        <v>140</v>
      </c>
      <c r="J892" s="343" t="s">
        <v>4</v>
      </c>
      <c r="K892" s="44"/>
      <c r="L892" s="44"/>
      <c r="M892" s="44"/>
      <c r="N892" s="9"/>
      <c r="O892" s="9"/>
      <c r="P892" s="9"/>
      <c r="Q892" s="9"/>
      <c r="R892" s="9"/>
      <c r="S892" s="9"/>
      <c r="T892" s="9"/>
      <c r="U892" s="9"/>
      <c r="V892" s="9"/>
      <c r="W892" s="9"/>
      <c r="X892" s="9"/>
      <c r="Y892" s="9"/>
      <c r="Z892" s="9"/>
      <c r="AA892" s="9"/>
      <c r="AB892" s="9"/>
      <c r="AC892" s="9"/>
      <c r="AD892" s="9"/>
    </row>
    <row r="893" spans="1:30" s="2" customFormat="1" ht="23.25" customHeight="1">
      <c r="A893" s="278"/>
      <c r="B893" s="286" t="s">
        <v>296</v>
      </c>
      <c r="C893" s="280"/>
      <c r="D893" s="280"/>
      <c r="E893" s="280"/>
      <c r="F893" s="282"/>
      <c r="G893" s="282"/>
      <c r="H893" s="282"/>
      <c r="I893" s="283"/>
      <c r="J893" s="284"/>
      <c r="K893" s="43"/>
      <c r="L893" s="43"/>
      <c r="M893" s="43"/>
      <c r="N893" s="9"/>
      <c r="O893" s="9"/>
      <c r="P893" s="9"/>
      <c r="Q893" s="9"/>
      <c r="R893" s="9"/>
      <c r="S893" s="9"/>
      <c r="T893" s="9"/>
      <c r="U893" s="9"/>
      <c r="V893" s="9"/>
      <c r="W893" s="9"/>
      <c r="X893" s="9"/>
      <c r="Y893" s="9"/>
      <c r="Z893" s="9"/>
      <c r="AA893" s="9"/>
      <c r="AB893" s="9"/>
      <c r="AC893" s="9"/>
      <c r="AD893" s="9"/>
    </row>
    <row r="894" spans="1:30" s="2" customFormat="1" ht="23.25" customHeight="1">
      <c r="A894" s="278"/>
      <c r="B894" s="286" t="s">
        <v>283</v>
      </c>
      <c r="C894" s="280"/>
      <c r="D894" s="280"/>
      <c r="E894" s="280"/>
      <c r="F894" s="282"/>
      <c r="G894" s="282"/>
      <c r="H894" s="282"/>
      <c r="I894" s="416">
        <f>I892</f>
        <v>140</v>
      </c>
      <c r="J894" s="343" t="s">
        <v>4</v>
      </c>
      <c r="K894" s="44"/>
      <c r="L894" s="44"/>
      <c r="M894" s="44"/>
      <c r="N894" s="9"/>
      <c r="O894" s="9"/>
      <c r="P894" s="9"/>
      <c r="Q894" s="9"/>
      <c r="R894" s="9"/>
      <c r="S894" s="9"/>
      <c r="T894" s="9"/>
      <c r="U894" s="9"/>
      <c r="V894" s="9"/>
      <c r="W894" s="9"/>
      <c r="X894" s="9"/>
      <c r="Y894" s="9"/>
      <c r="Z894" s="9"/>
      <c r="AA894" s="9"/>
      <c r="AB894" s="9"/>
      <c r="AC894" s="9"/>
      <c r="AD894" s="9"/>
    </row>
    <row r="895" spans="1:30" s="2" customFormat="1" ht="23.25" customHeight="1">
      <c r="A895" s="278"/>
      <c r="B895" s="286" t="s">
        <v>295</v>
      </c>
      <c r="C895" s="280"/>
      <c r="D895" s="280"/>
      <c r="E895" s="280"/>
      <c r="F895" s="282"/>
      <c r="G895" s="282"/>
      <c r="H895" s="282"/>
      <c r="I895" s="416"/>
      <c r="J895" s="284"/>
      <c r="K895" s="43"/>
      <c r="L895" s="43"/>
      <c r="M895" s="43"/>
      <c r="N895" s="9"/>
      <c r="O895" s="9"/>
      <c r="P895" s="9"/>
      <c r="Q895" s="9"/>
      <c r="R895" s="9"/>
      <c r="S895" s="9"/>
      <c r="T895" s="9"/>
      <c r="U895" s="9"/>
      <c r="V895" s="9"/>
      <c r="W895" s="9"/>
      <c r="X895" s="9"/>
      <c r="Y895" s="9"/>
      <c r="Z895" s="9"/>
      <c r="AA895" s="9"/>
      <c r="AB895" s="9"/>
      <c r="AC895" s="9"/>
      <c r="AD895" s="9"/>
    </row>
    <row r="896" spans="1:30" s="2" customFormat="1" ht="23.25" customHeight="1">
      <c r="A896" s="278"/>
      <c r="B896" s="286" t="s">
        <v>283</v>
      </c>
      <c r="C896" s="280"/>
      <c r="D896" s="280"/>
      <c r="E896" s="280"/>
      <c r="F896" s="282"/>
      <c r="G896" s="282"/>
      <c r="H896" s="282"/>
      <c r="I896" s="416">
        <f>I894</f>
        <v>140</v>
      </c>
      <c r="J896" s="343" t="s">
        <v>4</v>
      </c>
      <c r="K896" s="44"/>
      <c r="L896" s="44"/>
      <c r="M896" s="44"/>
      <c r="N896" s="9"/>
      <c r="O896" s="9"/>
      <c r="P896" s="9"/>
      <c r="Q896" s="9"/>
      <c r="R896" s="9"/>
      <c r="S896" s="9"/>
      <c r="T896" s="9"/>
      <c r="U896" s="9"/>
      <c r="V896" s="9"/>
      <c r="W896" s="9"/>
      <c r="X896" s="9"/>
      <c r="Y896" s="9"/>
      <c r="Z896" s="9"/>
      <c r="AA896" s="9"/>
      <c r="AB896" s="9"/>
      <c r="AC896" s="9"/>
      <c r="AD896" s="9"/>
    </row>
    <row r="897" spans="1:30" s="2" customFormat="1" ht="23.25" customHeight="1">
      <c r="A897" s="278"/>
      <c r="B897" s="286" t="s">
        <v>294</v>
      </c>
      <c r="C897" s="280"/>
      <c r="D897" s="280"/>
      <c r="E897" s="280"/>
      <c r="F897" s="282"/>
      <c r="G897" s="282"/>
      <c r="H897" s="282"/>
      <c r="I897" s="416"/>
      <c r="J897" s="284"/>
      <c r="K897" s="43"/>
      <c r="L897" s="43"/>
      <c r="M897" s="43"/>
      <c r="N897" s="9"/>
      <c r="O897" s="9"/>
      <c r="P897" s="9"/>
      <c r="Q897" s="9"/>
      <c r="R897" s="9"/>
      <c r="S897" s="9"/>
      <c r="T897" s="9"/>
      <c r="U897" s="9"/>
      <c r="V897" s="9"/>
      <c r="W897" s="9"/>
      <c r="X897" s="9"/>
      <c r="Y897" s="9"/>
      <c r="Z897" s="9"/>
      <c r="AA897" s="9"/>
      <c r="AB897" s="9"/>
      <c r="AC897" s="9"/>
      <c r="AD897" s="9"/>
    </row>
    <row r="898" spans="1:30" s="2" customFormat="1" ht="23.25" customHeight="1">
      <c r="A898" s="278"/>
      <c r="B898" s="286" t="s">
        <v>283</v>
      </c>
      <c r="C898" s="280"/>
      <c r="D898" s="280"/>
      <c r="E898" s="280"/>
      <c r="F898" s="282"/>
      <c r="G898" s="282"/>
      <c r="H898" s="282"/>
      <c r="I898" s="416">
        <f>I896</f>
        <v>140</v>
      </c>
      <c r="J898" s="343" t="s">
        <v>4</v>
      </c>
      <c r="K898" s="44"/>
      <c r="L898" s="44"/>
      <c r="M898" s="44"/>
      <c r="N898" s="9"/>
      <c r="O898" s="9"/>
      <c r="P898" s="9"/>
      <c r="Q898" s="9"/>
      <c r="R898" s="9"/>
      <c r="S898" s="9"/>
      <c r="T898" s="9"/>
      <c r="U898" s="9"/>
      <c r="V898" s="9"/>
      <c r="W898" s="9"/>
      <c r="X898" s="9"/>
      <c r="Y898" s="9"/>
      <c r="Z898" s="9"/>
      <c r="AA898" s="9"/>
      <c r="AB898" s="9"/>
      <c r="AC898" s="9"/>
      <c r="AD898" s="9"/>
    </row>
    <row r="899" spans="1:30" s="2" customFormat="1" ht="23.25" customHeight="1">
      <c r="A899" s="278"/>
      <c r="B899" s="286" t="s">
        <v>293</v>
      </c>
      <c r="C899" s="280"/>
      <c r="D899" s="280"/>
      <c r="E899" s="280"/>
      <c r="F899" s="282"/>
      <c r="G899" s="282"/>
      <c r="H899" s="282"/>
      <c r="I899" s="416"/>
      <c r="J899" s="284"/>
      <c r="K899" s="43"/>
      <c r="L899" s="43"/>
      <c r="M899" s="43"/>
      <c r="N899" s="9"/>
      <c r="O899" s="9"/>
      <c r="P899" s="9"/>
      <c r="Q899" s="9"/>
      <c r="R899" s="9"/>
      <c r="S899" s="9"/>
      <c r="T899" s="9"/>
      <c r="U899" s="9"/>
      <c r="V899" s="9"/>
      <c r="W899" s="9"/>
      <c r="X899" s="9"/>
      <c r="Y899" s="9"/>
      <c r="Z899" s="9"/>
      <c r="AA899" s="9"/>
      <c r="AB899" s="9"/>
      <c r="AC899" s="9"/>
      <c r="AD899" s="9"/>
    </row>
    <row r="900" spans="1:30" s="2" customFormat="1" ht="23.25" customHeight="1">
      <c r="A900" s="278"/>
      <c r="B900" s="286" t="s">
        <v>283</v>
      </c>
      <c r="C900" s="280"/>
      <c r="D900" s="280"/>
      <c r="E900" s="280"/>
      <c r="F900" s="282"/>
      <c r="G900" s="282"/>
      <c r="H900" s="282"/>
      <c r="I900" s="416">
        <f>I898</f>
        <v>140</v>
      </c>
      <c r="J900" s="343" t="s">
        <v>4</v>
      </c>
      <c r="K900" s="44"/>
      <c r="L900" s="44"/>
      <c r="M900" s="44"/>
      <c r="N900" s="9"/>
      <c r="O900" s="9"/>
      <c r="P900" s="9"/>
      <c r="Q900" s="9"/>
      <c r="R900" s="9"/>
      <c r="S900" s="9"/>
      <c r="T900" s="9"/>
      <c r="U900" s="9"/>
      <c r="V900" s="9"/>
      <c r="W900" s="9"/>
      <c r="X900" s="9"/>
      <c r="Y900" s="9"/>
      <c r="Z900" s="9"/>
      <c r="AA900" s="9"/>
      <c r="AB900" s="9"/>
      <c r="AC900" s="9"/>
      <c r="AD900" s="9"/>
    </row>
    <row r="901" spans="1:30" s="2" customFormat="1" ht="23.25" customHeight="1">
      <c r="A901" s="278"/>
      <c r="B901" s="286" t="s">
        <v>292</v>
      </c>
      <c r="C901" s="280"/>
      <c r="D901" s="280"/>
      <c r="E901" s="280"/>
      <c r="F901" s="282"/>
      <c r="G901" s="282"/>
      <c r="H901" s="282"/>
      <c r="I901" s="416"/>
      <c r="J901" s="284"/>
      <c r="K901" s="43"/>
      <c r="L901" s="43"/>
      <c r="M901" s="43"/>
      <c r="N901" s="9"/>
      <c r="O901" s="9"/>
      <c r="P901" s="9"/>
      <c r="Q901" s="9"/>
      <c r="R901" s="9"/>
      <c r="S901" s="9"/>
      <c r="T901" s="9"/>
      <c r="U901" s="9"/>
      <c r="V901" s="9"/>
      <c r="W901" s="9"/>
      <c r="X901" s="9"/>
      <c r="Y901" s="9"/>
      <c r="Z901" s="9"/>
      <c r="AA901" s="9"/>
      <c r="AB901" s="9"/>
      <c r="AC901" s="9"/>
      <c r="AD901" s="9"/>
    </row>
    <row r="902" spans="1:30" s="2" customFormat="1" ht="23.25" customHeight="1">
      <c r="A902" s="278"/>
      <c r="B902" s="286" t="s">
        <v>283</v>
      </c>
      <c r="C902" s="280"/>
      <c r="D902" s="280"/>
      <c r="E902" s="280"/>
      <c r="F902" s="282"/>
      <c r="G902" s="282"/>
      <c r="H902" s="282"/>
      <c r="I902" s="416">
        <f>I900</f>
        <v>140</v>
      </c>
      <c r="J902" s="343" t="s">
        <v>4</v>
      </c>
      <c r="K902" s="44"/>
      <c r="L902" s="44"/>
      <c r="M902" s="44"/>
      <c r="N902" s="9"/>
      <c r="O902" s="9"/>
      <c r="P902" s="9"/>
      <c r="Q902" s="9"/>
      <c r="R902" s="9"/>
      <c r="S902" s="9"/>
      <c r="T902" s="9"/>
      <c r="U902" s="9"/>
      <c r="V902" s="9"/>
      <c r="W902" s="9"/>
      <c r="X902" s="9"/>
      <c r="Y902" s="9"/>
      <c r="Z902" s="9"/>
      <c r="AA902" s="9"/>
      <c r="AB902" s="9"/>
      <c r="AC902" s="9"/>
      <c r="AD902" s="9"/>
    </row>
    <row r="903" spans="1:30" s="2" customFormat="1" ht="23.25" customHeight="1">
      <c r="A903" s="278"/>
      <c r="B903" s="286" t="s">
        <v>291</v>
      </c>
      <c r="C903" s="280"/>
      <c r="D903" s="280"/>
      <c r="E903" s="280"/>
      <c r="F903" s="282"/>
      <c r="G903" s="282"/>
      <c r="H903" s="282"/>
      <c r="I903" s="416"/>
      <c r="J903" s="284"/>
      <c r="K903" s="43"/>
      <c r="L903" s="43"/>
      <c r="M903" s="43"/>
      <c r="N903" s="9"/>
      <c r="O903" s="9"/>
      <c r="P903" s="9"/>
      <c r="Q903" s="9"/>
      <c r="R903" s="9"/>
      <c r="S903" s="9"/>
      <c r="T903" s="9"/>
      <c r="U903" s="9"/>
      <c r="V903" s="9"/>
      <c r="W903" s="9"/>
      <c r="X903" s="9"/>
      <c r="Y903" s="9"/>
      <c r="Z903" s="9"/>
      <c r="AA903" s="9"/>
      <c r="AB903" s="9"/>
      <c r="AC903" s="9"/>
      <c r="AD903" s="9"/>
    </row>
    <row r="904" spans="1:30" s="2" customFormat="1" ht="23.25" customHeight="1">
      <c r="A904" s="278"/>
      <c r="B904" s="286" t="s">
        <v>283</v>
      </c>
      <c r="C904" s="280"/>
      <c r="D904" s="280"/>
      <c r="E904" s="280"/>
      <c r="F904" s="282"/>
      <c r="G904" s="282"/>
      <c r="H904" s="282"/>
      <c r="I904" s="416">
        <f>I902</f>
        <v>140</v>
      </c>
      <c r="J904" s="343" t="s">
        <v>4</v>
      </c>
      <c r="K904" s="44"/>
      <c r="L904" s="44"/>
      <c r="M904" s="44"/>
      <c r="N904" s="9"/>
      <c r="O904" s="9"/>
      <c r="P904" s="9"/>
      <c r="Q904" s="9"/>
      <c r="R904" s="9"/>
      <c r="S904" s="9"/>
      <c r="T904" s="9"/>
      <c r="U904" s="9"/>
      <c r="V904" s="9"/>
      <c r="W904" s="9"/>
      <c r="X904" s="9"/>
      <c r="Y904" s="9"/>
      <c r="Z904" s="9"/>
      <c r="AA904" s="9"/>
      <c r="AB904" s="9"/>
      <c r="AC904" s="9"/>
      <c r="AD904" s="9"/>
    </row>
    <row r="905" spans="1:30" s="2" customFormat="1" ht="23.25" customHeight="1">
      <c r="A905" s="278"/>
      <c r="B905" s="286" t="s">
        <v>290</v>
      </c>
      <c r="C905" s="280"/>
      <c r="D905" s="280"/>
      <c r="E905" s="280"/>
      <c r="F905" s="282"/>
      <c r="G905" s="282"/>
      <c r="H905" s="282"/>
      <c r="I905" s="416"/>
      <c r="J905" s="284"/>
      <c r="K905" s="43"/>
      <c r="L905" s="43"/>
      <c r="M905" s="43"/>
      <c r="N905" s="9"/>
      <c r="O905" s="9"/>
      <c r="P905" s="9"/>
      <c r="Q905" s="9"/>
      <c r="R905" s="9"/>
      <c r="S905" s="9"/>
      <c r="T905" s="9"/>
      <c r="U905" s="9"/>
      <c r="V905" s="9"/>
      <c r="W905" s="9"/>
      <c r="X905" s="9"/>
      <c r="Y905" s="9"/>
      <c r="Z905" s="9"/>
      <c r="AA905" s="9"/>
      <c r="AB905" s="9"/>
      <c r="AC905" s="9"/>
      <c r="AD905" s="9"/>
    </row>
    <row r="906" spans="1:30" s="2" customFormat="1" ht="23.25" customHeight="1">
      <c r="A906" s="278"/>
      <c r="B906" s="286" t="s">
        <v>283</v>
      </c>
      <c r="C906" s="280"/>
      <c r="D906" s="280"/>
      <c r="E906" s="280"/>
      <c r="F906" s="282"/>
      <c r="G906" s="282"/>
      <c r="H906" s="282"/>
      <c r="I906" s="416">
        <f>I904</f>
        <v>140</v>
      </c>
      <c r="J906" s="343" t="s">
        <v>4</v>
      </c>
      <c r="K906" s="44"/>
      <c r="L906" s="44"/>
      <c r="M906" s="44"/>
      <c r="N906" s="9"/>
      <c r="O906" s="9"/>
      <c r="P906" s="9"/>
      <c r="Q906" s="9"/>
      <c r="R906" s="9"/>
      <c r="S906" s="9"/>
      <c r="T906" s="9"/>
      <c r="U906" s="9"/>
      <c r="V906" s="9"/>
      <c r="W906" s="9"/>
      <c r="X906" s="9"/>
      <c r="Y906" s="9"/>
      <c r="Z906" s="9"/>
      <c r="AA906" s="9"/>
      <c r="AB906" s="9"/>
      <c r="AC906" s="9"/>
      <c r="AD906" s="9"/>
    </row>
    <row r="907" spans="1:30" s="2" customFormat="1" ht="23.25" customHeight="1">
      <c r="A907" s="278"/>
      <c r="B907" s="286" t="s">
        <v>289</v>
      </c>
      <c r="C907" s="280"/>
      <c r="D907" s="280"/>
      <c r="E907" s="280"/>
      <c r="F907" s="282"/>
      <c r="G907" s="282"/>
      <c r="H907" s="282"/>
      <c r="I907" s="416"/>
      <c r="J907" s="284"/>
      <c r="K907" s="43"/>
      <c r="L907" s="43"/>
      <c r="M907" s="43"/>
      <c r="N907" s="9"/>
      <c r="O907" s="9"/>
      <c r="P907" s="9"/>
      <c r="Q907" s="9"/>
      <c r="R907" s="9"/>
      <c r="S907" s="9"/>
      <c r="T907" s="9"/>
      <c r="U907" s="9"/>
      <c r="V907" s="9"/>
      <c r="W907" s="9"/>
      <c r="X907" s="9"/>
      <c r="Y907" s="9"/>
      <c r="Z907" s="9"/>
      <c r="AA907" s="9"/>
      <c r="AB907" s="9"/>
      <c r="AC907" s="9"/>
      <c r="AD907" s="9"/>
    </row>
    <row r="908" spans="1:30" s="2" customFormat="1" ht="20.25" customHeight="1">
      <c r="A908" s="278"/>
      <c r="B908" s="286" t="s">
        <v>283</v>
      </c>
      <c r="C908" s="280"/>
      <c r="D908" s="280"/>
      <c r="E908" s="280"/>
      <c r="F908" s="282"/>
      <c r="G908" s="282"/>
      <c r="H908" s="282"/>
      <c r="I908" s="416">
        <f>I906</f>
        <v>140</v>
      </c>
      <c r="J908" s="343" t="s">
        <v>4</v>
      </c>
      <c r="K908" s="44"/>
      <c r="L908" s="44"/>
      <c r="M908" s="44"/>
      <c r="N908" s="9"/>
      <c r="O908" s="9"/>
      <c r="P908" s="9"/>
      <c r="Q908" s="9"/>
      <c r="R908" s="9"/>
      <c r="S908" s="9"/>
      <c r="T908" s="9"/>
      <c r="U908" s="9"/>
      <c r="V908" s="9"/>
      <c r="W908" s="9"/>
      <c r="X908" s="9"/>
      <c r="Y908" s="9"/>
      <c r="Z908" s="9"/>
      <c r="AA908" s="9"/>
      <c r="AB908" s="9"/>
      <c r="AC908" s="9"/>
      <c r="AD908" s="9"/>
    </row>
    <row r="909" spans="1:30" s="2" customFormat="1" ht="20.25" customHeight="1">
      <c r="A909" s="278"/>
      <c r="B909" s="286" t="s">
        <v>288</v>
      </c>
      <c r="C909" s="280"/>
      <c r="D909" s="280"/>
      <c r="E909" s="280"/>
      <c r="F909" s="282"/>
      <c r="G909" s="282"/>
      <c r="H909" s="282"/>
      <c r="I909" s="416"/>
      <c r="J909" s="284"/>
      <c r="K909" s="43"/>
      <c r="L909" s="43"/>
      <c r="M909" s="43"/>
      <c r="N909" s="9"/>
      <c r="O909" s="9"/>
      <c r="P909" s="9"/>
      <c r="Q909" s="9"/>
      <c r="R909" s="9"/>
      <c r="S909" s="9"/>
      <c r="T909" s="9"/>
      <c r="U909" s="9"/>
      <c r="V909" s="9"/>
      <c r="W909" s="9"/>
      <c r="X909" s="9"/>
      <c r="Y909" s="9"/>
      <c r="Z909" s="9"/>
      <c r="AA909" s="9"/>
      <c r="AB909" s="9"/>
      <c r="AC909" s="9"/>
      <c r="AD909" s="9"/>
    </row>
    <row r="910" spans="1:30" s="2" customFormat="1" ht="20.25" customHeight="1">
      <c r="A910" s="278"/>
      <c r="B910" s="286" t="s">
        <v>283</v>
      </c>
      <c r="C910" s="280"/>
      <c r="D910" s="280"/>
      <c r="E910" s="280"/>
      <c r="F910" s="282"/>
      <c r="G910" s="282"/>
      <c r="H910" s="282"/>
      <c r="I910" s="416">
        <f>I908</f>
        <v>140</v>
      </c>
      <c r="J910" s="343" t="s">
        <v>4</v>
      </c>
      <c r="K910" s="44"/>
      <c r="L910" s="44"/>
      <c r="M910" s="44"/>
      <c r="N910" s="9"/>
      <c r="O910" s="9"/>
      <c r="P910" s="9"/>
      <c r="Q910" s="9"/>
      <c r="R910" s="9"/>
      <c r="S910" s="9"/>
      <c r="T910" s="9"/>
      <c r="U910" s="9"/>
      <c r="V910" s="9"/>
      <c r="W910" s="9"/>
      <c r="X910" s="9"/>
      <c r="Y910" s="9"/>
      <c r="Z910" s="9"/>
      <c r="AA910" s="9"/>
      <c r="AB910" s="9"/>
      <c r="AC910" s="9"/>
      <c r="AD910" s="9"/>
    </row>
    <row r="911" spans="1:30" s="2" customFormat="1" ht="39.75" customHeight="1">
      <c r="A911" s="288">
        <v>12.1</v>
      </c>
      <c r="B911" s="286" t="s">
        <v>700</v>
      </c>
      <c r="C911" s="280"/>
      <c r="D911" s="280"/>
      <c r="E911" s="280"/>
      <c r="F911" s="282"/>
      <c r="G911" s="282"/>
      <c r="H911" s="282"/>
      <c r="I911" s="283"/>
      <c r="J911" s="284"/>
      <c r="K911" s="43"/>
      <c r="L911" s="43"/>
      <c r="M911" s="43"/>
      <c r="N911" s="9"/>
      <c r="O911" s="9"/>
      <c r="P911" s="9"/>
      <c r="Q911" s="9"/>
      <c r="R911" s="9"/>
      <c r="S911" s="9"/>
      <c r="T911" s="9"/>
      <c r="U911" s="9"/>
      <c r="V911" s="9"/>
      <c r="W911" s="9"/>
      <c r="X911" s="9"/>
      <c r="Y911" s="9"/>
      <c r="Z911" s="9"/>
      <c r="AA911" s="9"/>
      <c r="AB911" s="9"/>
      <c r="AC911" s="9"/>
      <c r="AD911" s="9"/>
    </row>
    <row r="912" spans="1:30" s="2" customFormat="1" ht="23.25" customHeight="1">
      <c r="A912" s="278"/>
      <c r="B912" s="286" t="s">
        <v>580</v>
      </c>
      <c r="C912" s="280"/>
      <c r="D912" s="280"/>
      <c r="E912" s="280"/>
      <c r="F912" s="282"/>
      <c r="G912" s="282"/>
      <c r="H912" s="282"/>
      <c r="I912" s="283"/>
      <c r="J912" s="284"/>
      <c r="K912" s="43"/>
      <c r="L912" s="43"/>
      <c r="M912" s="43"/>
      <c r="N912" s="9"/>
      <c r="O912" s="9"/>
      <c r="P912" s="9"/>
      <c r="Q912" s="9"/>
      <c r="R912" s="9"/>
      <c r="S912" s="9"/>
      <c r="T912" s="9"/>
      <c r="U912" s="9"/>
      <c r="V912" s="9"/>
      <c r="W912" s="9"/>
      <c r="X912" s="9"/>
      <c r="Y912" s="9"/>
      <c r="Z912" s="9"/>
      <c r="AA912" s="9"/>
      <c r="AB912" s="9"/>
      <c r="AC912" s="9"/>
      <c r="AD912" s="9"/>
    </row>
    <row r="913" spans="1:30" s="367" customFormat="1" ht="22.5" customHeight="1">
      <c r="A913" s="395"/>
      <c r="B913" s="401" t="s">
        <v>1315</v>
      </c>
      <c r="C913" s="397">
        <v>1</v>
      </c>
      <c r="D913" s="397">
        <v>2</v>
      </c>
      <c r="E913" s="397">
        <v>1</v>
      </c>
      <c r="F913" s="410">
        <v>2.75</v>
      </c>
      <c r="G913" s="410" t="s">
        <v>26</v>
      </c>
      <c r="H913" s="410">
        <v>0.8</v>
      </c>
      <c r="I913" s="399">
        <f t="shared" ref="I913:I918" si="40">PRODUCT(C913:H913)</f>
        <v>4.4000000000000004</v>
      </c>
      <c r="J913" s="396"/>
    </row>
    <row r="914" spans="1:30" s="367" customFormat="1" ht="22.5" customHeight="1">
      <c r="A914" s="395"/>
      <c r="B914" s="401" t="s">
        <v>1316</v>
      </c>
      <c r="C914" s="397">
        <v>1</v>
      </c>
      <c r="D914" s="397">
        <v>1</v>
      </c>
      <c r="E914" s="397">
        <v>1</v>
      </c>
      <c r="F914" s="410">
        <v>2.75</v>
      </c>
      <c r="G914" s="410" t="s">
        <v>26</v>
      </c>
      <c r="H914" s="410">
        <v>0.8</v>
      </c>
      <c r="I914" s="399">
        <f t="shared" si="40"/>
        <v>2.2000000000000002</v>
      </c>
      <c r="J914" s="396"/>
    </row>
    <row r="915" spans="1:30" s="367" customFormat="1" ht="22.5" customHeight="1">
      <c r="A915" s="395"/>
      <c r="B915" s="401" t="s">
        <v>1317</v>
      </c>
      <c r="C915" s="397">
        <v>1</v>
      </c>
      <c r="D915" s="397">
        <v>2</v>
      </c>
      <c r="E915" s="397">
        <v>1</v>
      </c>
      <c r="F915" s="410">
        <v>3.05</v>
      </c>
      <c r="G915" s="410" t="s">
        <v>26</v>
      </c>
      <c r="H915" s="410">
        <v>0.8</v>
      </c>
      <c r="I915" s="399">
        <f t="shared" si="40"/>
        <v>4.88</v>
      </c>
      <c r="J915" s="396"/>
    </row>
    <row r="916" spans="1:30" s="367" customFormat="1" ht="22.5" customHeight="1">
      <c r="A916" s="395"/>
      <c r="B916" s="401" t="s">
        <v>1318</v>
      </c>
      <c r="C916" s="397">
        <v>1</v>
      </c>
      <c r="D916" s="397">
        <v>1</v>
      </c>
      <c r="E916" s="397">
        <v>1</v>
      </c>
      <c r="F916" s="410">
        <v>3.05</v>
      </c>
      <c r="G916" s="410" t="s">
        <v>26</v>
      </c>
      <c r="H916" s="410">
        <v>0.8</v>
      </c>
      <c r="I916" s="399">
        <f t="shared" si="40"/>
        <v>2.44</v>
      </c>
      <c r="J916" s="396"/>
    </row>
    <row r="917" spans="1:30" s="367" customFormat="1" ht="22.5" customHeight="1">
      <c r="A917" s="395"/>
      <c r="B917" s="401" t="s">
        <v>1319</v>
      </c>
      <c r="C917" s="397">
        <v>1</v>
      </c>
      <c r="D917" s="397">
        <v>2</v>
      </c>
      <c r="E917" s="397">
        <v>1</v>
      </c>
      <c r="F917" s="410">
        <v>0.15</v>
      </c>
      <c r="G917" s="410" t="s">
        <v>26</v>
      </c>
      <c r="H917" s="410">
        <v>0.8</v>
      </c>
      <c r="I917" s="399">
        <f t="shared" si="40"/>
        <v>0.24</v>
      </c>
      <c r="J917" s="396"/>
    </row>
    <row r="918" spans="1:30" s="367" customFormat="1" ht="22.5" customHeight="1">
      <c r="A918" s="395"/>
      <c r="B918" s="401" t="s">
        <v>1320</v>
      </c>
      <c r="C918" s="397">
        <v>1</v>
      </c>
      <c r="D918" s="397">
        <v>1</v>
      </c>
      <c r="E918" s="397">
        <v>1</v>
      </c>
      <c r="F918" s="410">
        <v>0.53</v>
      </c>
      <c r="G918" s="410" t="s">
        <v>26</v>
      </c>
      <c r="H918" s="410">
        <v>0.8</v>
      </c>
      <c r="I918" s="399">
        <f t="shared" si="40"/>
        <v>0.42</v>
      </c>
      <c r="J918" s="396"/>
    </row>
    <row r="919" spans="1:30" s="2" customFormat="1" ht="20.25" customHeight="1">
      <c r="A919" s="278"/>
      <c r="B919" s="286"/>
      <c r="C919" s="280"/>
      <c r="D919" s="280"/>
      <c r="E919" s="280"/>
      <c r="F919" s="282"/>
      <c r="G919" s="597"/>
      <c r="H919" s="598"/>
      <c r="I919" s="283">
        <f>SUM(I913:I918)</f>
        <v>14.58</v>
      </c>
      <c r="J919" s="340" t="s">
        <v>42</v>
      </c>
      <c r="K919" s="39"/>
      <c r="L919" s="39"/>
      <c r="M919" s="39"/>
      <c r="N919" s="9"/>
      <c r="O919" s="9"/>
      <c r="P919" s="9"/>
      <c r="Q919" s="9"/>
      <c r="R919" s="9"/>
      <c r="S919" s="9"/>
      <c r="T919" s="9"/>
      <c r="U919" s="9"/>
      <c r="V919" s="9"/>
      <c r="W919" s="9"/>
      <c r="X919" s="9"/>
      <c r="Y919" s="9"/>
      <c r="Z919" s="9"/>
      <c r="AA919" s="9"/>
      <c r="AB919" s="9"/>
      <c r="AC919" s="9"/>
      <c r="AD919" s="9"/>
    </row>
    <row r="920" spans="1:30" s="2" customFormat="1" ht="18.75" customHeight="1">
      <c r="A920" s="278"/>
      <c r="B920" s="286"/>
      <c r="C920" s="280"/>
      <c r="D920" s="280"/>
      <c r="E920" s="280"/>
      <c r="F920" s="282"/>
      <c r="G920" s="589" t="s">
        <v>55</v>
      </c>
      <c r="H920" s="590"/>
      <c r="I920" s="416">
        <f>ROUNDUP(I919,1)</f>
        <v>14.6</v>
      </c>
      <c r="J920" s="340" t="s">
        <v>42</v>
      </c>
      <c r="K920" s="39"/>
      <c r="L920" s="39"/>
      <c r="M920" s="39"/>
      <c r="N920" s="9"/>
      <c r="O920" s="9"/>
      <c r="P920" s="9"/>
      <c r="Q920" s="9"/>
      <c r="R920" s="9"/>
      <c r="S920" s="9"/>
      <c r="T920" s="9"/>
      <c r="U920" s="9"/>
      <c r="V920" s="9"/>
      <c r="W920" s="9"/>
      <c r="X920" s="9"/>
      <c r="Y920" s="9"/>
      <c r="Z920" s="9"/>
      <c r="AA920" s="9"/>
      <c r="AB920" s="9"/>
      <c r="AC920" s="9"/>
      <c r="AD920" s="9"/>
    </row>
    <row r="921" spans="1:30" s="2" customFormat="1" ht="23.25" customHeight="1">
      <c r="A921" s="278"/>
      <c r="B921" s="286" t="s">
        <v>299</v>
      </c>
      <c r="C921" s="280"/>
      <c r="D921" s="280"/>
      <c r="E921" s="280"/>
      <c r="F921" s="282"/>
      <c r="G921" s="282"/>
      <c r="H921" s="282"/>
      <c r="I921" s="416"/>
      <c r="J921" s="284"/>
      <c r="K921" s="43"/>
      <c r="L921" s="43"/>
      <c r="M921" s="43"/>
      <c r="N921" s="9"/>
      <c r="O921" s="9"/>
      <c r="P921" s="9"/>
      <c r="Q921" s="9"/>
      <c r="R921" s="9"/>
      <c r="S921" s="9"/>
      <c r="T921" s="9"/>
      <c r="U921" s="9"/>
      <c r="V921" s="9"/>
      <c r="W921" s="9"/>
      <c r="X921" s="9"/>
      <c r="Y921" s="9"/>
      <c r="Z921" s="9"/>
      <c r="AA921" s="9"/>
      <c r="AB921" s="9"/>
      <c r="AC921" s="9"/>
      <c r="AD921" s="9"/>
    </row>
    <row r="922" spans="1:30" s="2" customFormat="1" ht="19.5" customHeight="1">
      <c r="A922" s="278"/>
      <c r="B922" s="480"/>
      <c r="C922" s="481"/>
      <c r="D922" s="294"/>
      <c r="E922" s="369"/>
      <c r="F922" s="295"/>
      <c r="G922" s="599" t="s">
        <v>55</v>
      </c>
      <c r="H922" s="600"/>
      <c r="I922" s="416">
        <f>I920</f>
        <v>14.6</v>
      </c>
      <c r="J922" s="343" t="s">
        <v>42</v>
      </c>
      <c r="K922" s="44"/>
      <c r="L922" s="44"/>
      <c r="M922" s="44"/>
      <c r="N922" s="9"/>
      <c r="O922" s="9"/>
      <c r="P922" s="9"/>
      <c r="Q922" s="9"/>
      <c r="R922" s="9"/>
      <c r="S922" s="9"/>
      <c r="T922" s="9"/>
      <c r="U922" s="9"/>
      <c r="V922" s="9"/>
      <c r="W922" s="9"/>
      <c r="X922" s="9"/>
      <c r="Y922" s="9"/>
      <c r="Z922" s="9"/>
      <c r="AA922" s="9"/>
      <c r="AB922" s="9"/>
      <c r="AC922" s="9"/>
      <c r="AD922" s="9"/>
    </row>
    <row r="923" spans="1:30" s="2" customFormat="1" ht="23.25" customHeight="1">
      <c r="A923" s="278"/>
      <c r="B923" s="286" t="s">
        <v>296</v>
      </c>
      <c r="C923" s="280"/>
      <c r="D923" s="280"/>
      <c r="E923" s="280"/>
      <c r="F923" s="282"/>
      <c r="G923" s="282"/>
      <c r="H923" s="282"/>
      <c r="I923" s="416"/>
      <c r="J923" s="284"/>
      <c r="K923" s="43"/>
      <c r="L923" s="43"/>
      <c r="M923" s="43"/>
      <c r="N923" s="9"/>
      <c r="O923" s="9"/>
      <c r="P923" s="9"/>
      <c r="Q923" s="9"/>
      <c r="R923" s="9"/>
      <c r="S923" s="9"/>
      <c r="T923" s="9"/>
      <c r="U923" s="9"/>
      <c r="V923" s="9"/>
      <c r="W923" s="9"/>
      <c r="X923" s="9"/>
      <c r="Y923" s="9"/>
      <c r="Z923" s="9"/>
      <c r="AA923" s="9"/>
      <c r="AB923" s="9"/>
      <c r="AC923" s="9"/>
      <c r="AD923" s="9"/>
    </row>
    <row r="924" spans="1:30" s="2" customFormat="1" ht="23.25" customHeight="1">
      <c r="A924" s="278"/>
      <c r="B924" s="286" t="s">
        <v>283</v>
      </c>
      <c r="C924" s="280"/>
      <c r="D924" s="280"/>
      <c r="E924" s="280"/>
      <c r="F924" s="282"/>
      <c r="G924" s="282"/>
      <c r="H924" s="282"/>
      <c r="I924" s="416">
        <f>I922</f>
        <v>14.6</v>
      </c>
      <c r="J924" s="343" t="s">
        <v>42</v>
      </c>
      <c r="K924" s="44"/>
      <c r="L924" s="44"/>
      <c r="M924" s="44"/>
      <c r="N924" s="9"/>
      <c r="O924" s="9"/>
      <c r="P924" s="9"/>
      <c r="Q924" s="9"/>
      <c r="R924" s="9"/>
      <c r="S924" s="9"/>
      <c r="T924" s="9"/>
      <c r="U924" s="9"/>
      <c r="V924" s="9"/>
      <c r="W924" s="9"/>
      <c r="X924" s="9"/>
      <c r="Y924" s="9"/>
      <c r="Z924" s="9"/>
      <c r="AA924" s="9"/>
      <c r="AB924" s="9"/>
      <c r="AC924" s="9"/>
      <c r="AD924" s="9"/>
    </row>
    <row r="925" spans="1:30" s="2" customFormat="1" ht="23.25" customHeight="1">
      <c r="A925" s="278"/>
      <c r="B925" s="286" t="s">
        <v>295</v>
      </c>
      <c r="C925" s="280"/>
      <c r="D925" s="280"/>
      <c r="E925" s="280"/>
      <c r="F925" s="282"/>
      <c r="G925" s="282"/>
      <c r="H925" s="282"/>
      <c r="I925" s="416"/>
      <c r="J925" s="284"/>
      <c r="K925" s="43"/>
      <c r="L925" s="43"/>
      <c r="M925" s="43"/>
      <c r="N925" s="9"/>
      <c r="O925" s="9"/>
      <c r="P925" s="9"/>
      <c r="Q925" s="9"/>
      <c r="R925" s="9"/>
      <c r="S925" s="9"/>
      <c r="T925" s="9"/>
      <c r="U925" s="9"/>
      <c r="V925" s="9"/>
      <c r="W925" s="9"/>
      <c r="X925" s="9"/>
      <c r="Y925" s="9"/>
      <c r="Z925" s="9"/>
      <c r="AA925" s="9"/>
      <c r="AB925" s="9"/>
      <c r="AC925" s="9"/>
      <c r="AD925" s="9"/>
    </row>
    <row r="926" spans="1:30" s="2" customFormat="1" ht="23.25" customHeight="1">
      <c r="A926" s="278"/>
      <c r="B926" s="286" t="s">
        <v>283</v>
      </c>
      <c r="C926" s="280"/>
      <c r="D926" s="280"/>
      <c r="E926" s="280"/>
      <c r="F926" s="282"/>
      <c r="G926" s="282"/>
      <c r="H926" s="282"/>
      <c r="I926" s="416">
        <f>I924</f>
        <v>14.6</v>
      </c>
      <c r="J926" s="343" t="s">
        <v>42</v>
      </c>
      <c r="K926" s="44"/>
      <c r="L926" s="44"/>
      <c r="M926" s="44"/>
      <c r="N926" s="9"/>
      <c r="O926" s="9"/>
      <c r="P926" s="9"/>
      <c r="Q926" s="9"/>
      <c r="R926" s="9"/>
      <c r="S926" s="9"/>
      <c r="T926" s="9"/>
      <c r="U926" s="9"/>
      <c r="V926" s="9"/>
      <c r="W926" s="9"/>
      <c r="X926" s="9"/>
      <c r="Y926" s="9"/>
      <c r="Z926" s="9"/>
      <c r="AA926" s="9"/>
      <c r="AB926" s="9"/>
      <c r="AC926" s="9"/>
      <c r="AD926" s="9"/>
    </row>
    <row r="927" spans="1:30" s="2" customFormat="1" ht="23.25" customHeight="1">
      <c r="A927" s="278"/>
      <c r="B927" s="286" t="s">
        <v>294</v>
      </c>
      <c r="C927" s="280"/>
      <c r="D927" s="280"/>
      <c r="E927" s="280"/>
      <c r="F927" s="282"/>
      <c r="G927" s="282"/>
      <c r="H927" s="282"/>
      <c r="I927" s="416"/>
      <c r="J927" s="284"/>
      <c r="K927" s="43"/>
      <c r="L927" s="43"/>
      <c r="M927" s="43"/>
      <c r="N927" s="9"/>
      <c r="O927" s="9"/>
      <c r="P927" s="9"/>
      <c r="Q927" s="9"/>
      <c r="R927" s="9"/>
      <c r="S927" s="9"/>
      <c r="T927" s="9"/>
      <c r="U927" s="9"/>
      <c r="V927" s="9"/>
      <c r="W927" s="9"/>
      <c r="X927" s="9"/>
      <c r="Y927" s="9"/>
      <c r="Z927" s="9"/>
      <c r="AA927" s="9"/>
      <c r="AB927" s="9"/>
      <c r="AC927" s="9"/>
      <c r="AD927" s="9"/>
    </row>
    <row r="928" spans="1:30" s="2" customFormat="1" ht="23.25" customHeight="1">
      <c r="A928" s="278"/>
      <c r="B928" s="286" t="s">
        <v>283</v>
      </c>
      <c r="C928" s="280"/>
      <c r="D928" s="280"/>
      <c r="E928" s="280"/>
      <c r="F928" s="282"/>
      <c r="G928" s="282"/>
      <c r="H928" s="282"/>
      <c r="I928" s="416">
        <f>I926</f>
        <v>14.6</v>
      </c>
      <c r="J928" s="343" t="s">
        <v>42</v>
      </c>
      <c r="K928" s="44"/>
      <c r="L928" s="44"/>
      <c r="M928" s="44"/>
      <c r="N928" s="9"/>
      <c r="O928" s="9"/>
      <c r="P928" s="9"/>
      <c r="Q928" s="9"/>
      <c r="R928" s="9"/>
      <c r="S928" s="9"/>
      <c r="T928" s="9"/>
      <c r="U928" s="9"/>
      <c r="V928" s="9"/>
      <c r="W928" s="9"/>
      <c r="X928" s="9"/>
      <c r="Y928" s="9"/>
      <c r="Z928" s="9"/>
      <c r="AA928" s="9"/>
      <c r="AB928" s="9"/>
      <c r="AC928" s="9"/>
      <c r="AD928" s="9"/>
    </row>
    <row r="929" spans="1:30" s="2" customFormat="1" ht="23.25" customHeight="1">
      <c r="A929" s="278"/>
      <c r="B929" s="286" t="s">
        <v>293</v>
      </c>
      <c r="C929" s="280"/>
      <c r="D929" s="280"/>
      <c r="E929" s="280"/>
      <c r="F929" s="282"/>
      <c r="G929" s="282"/>
      <c r="H929" s="282"/>
      <c r="I929" s="416"/>
      <c r="J929" s="284"/>
      <c r="K929" s="43"/>
      <c r="L929" s="43"/>
      <c r="M929" s="43"/>
      <c r="N929" s="9"/>
      <c r="O929" s="9"/>
      <c r="P929" s="9"/>
      <c r="Q929" s="9"/>
      <c r="R929" s="9"/>
      <c r="S929" s="9"/>
      <c r="T929" s="9"/>
      <c r="U929" s="9"/>
      <c r="V929" s="9"/>
      <c r="W929" s="9"/>
      <c r="X929" s="9"/>
      <c r="Y929" s="9"/>
      <c r="Z929" s="9"/>
      <c r="AA929" s="9"/>
      <c r="AB929" s="9"/>
      <c r="AC929" s="9"/>
      <c r="AD929" s="9"/>
    </row>
    <row r="930" spans="1:30" s="2" customFormat="1" ht="23.25" customHeight="1">
      <c r="A930" s="278"/>
      <c r="B930" s="286" t="s">
        <v>283</v>
      </c>
      <c r="C930" s="280"/>
      <c r="D930" s="280"/>
      <c r="E930" s="280"/>
      <c r="F930" s="282"/>
      <c r="G930" s="282"/>
      <c r="H930" s="282"/>
      <c r="I930" s="416">
        <f>I928</f>
        <v>14.6</v>
      </c>
      <c r="J930" s="343" t="s">
        <v>42</v>
      </c>
      <c r="K930" s="44"/>
      <c r="L930" s="44"/>
      <c r="M930" s="44"/>
      <c r="N930" s="9"/>
      <c r="O930" s="9"/>
      <c r="P930" s="9"/>
      <c r="Q930" s="9"/>
      <c r="R930" s="9"/>
      <c r="S930" s="9"/>
      <c r="T930" s="9"/>
      <c r="U930" s="9"/>
      <c r="V930" s="9"/>
      <c r="W930" s="9"/>
      <c r="X930" s="9"/>
      <c r="Y930" s="9"/>
      <c r="Z930" s="9"/>
      <c r="AA930" s="9"/>
      <c r="AB930" s="9"/>
      <c r="AC930" s="9"/>
      <c r="AD930" s="9"/>
    </row>
    <row r="931" spans="1:30" s="2" customFormat="1" ht="23.25" customHeight="1">
      <c r="A931" s="278"/>
      <c r="B931" s="286" t="s">
        <v>292</v>
      </c>
      <c r="C931" s="280"/>
      <c r="D931" s="280"/>
      <c r="E931" s="280"/>
      <c r="F931" s="282"/>
      <c r="G931" s="282"/>
      <c r="H931" s="282"/>
      <c r="I931" s="416"/>
      <c r="J931" s="284"/>
      <c r="K931" s="43"/>
      <c r="L931" s="43"/>
      <c r="M931" s="43"/>
      <c r="N931" s="9"/>
      <c r="O931" s="9"/>
      <c r="P931" s="9"/>
      <c r="Q931" s="9"/>
      <c r="R931" s="9"/>
      <c r="S931" s="9"/>
      <c r="T931" s="9"/>
      <c r="U931" s="9"/>
      <c r="V931" s="9"/>
      <c r="W931" s="9"/>
      <c r="X931" s="9"/>
      <c r="Y931" s="9"/>
      <c r="Z931" s="9"/>
      <c r="AA931" s="9"/>
      <c r="AB931" s="9"/>
      <c r="AC931" s="9"/>
      <c r="AD931" s="9"/>
    </row>
    <row r="932" spans="1:30" s="2" customFormat="1" ht="23.25" customHeight="1">
      <c r="A932" s="278"/>
      <c r="B932" s="286" t="s">
        <v>283</v>
      </c>
      <c r="C932" s="280"/>
      <c r="D932" s="280"/>
      <c r="E932" s="280"/>
      <c r="F932" s="282"/>
      <c r="G932" s="282"/>
      <c r="H932" s="282"/>
      <c r="I932" s="416">
        <f>I930</f>
        <v>14.6</v>
      </c>
      <c r="J932" s="343" t="s">
        <v>42</v>
      </c>
      <c r="K932" s="44"/>
      <c r="L932" s="44"/>
      <c r="M932" s="44"/>
      <c r="N932" s="9"/>
      <c r="O932" s="9"/>
      <c r="P932" s="9"/>
      <c r="Q932" s="9"/>
      <c r="R932" s="9"/>
      <c r="S932" s="9"/>
      <c r="T932" s="9"/>
      <c r="U932" s="9"/>
      <c r="V932" s="9"/>
      <c r="W932" s="9"/>
      <c r="X932" s="9"/>
      <c r="Y932" s="9"/>
      <c r="Z932" s="9"/>
      <c r="AA932" s="9"/>
      <c r="AB932" s="9"/>
      <c r="AC932" s="9"/>
      <c r="AD932" s="9"/>
    </row>
    <row r="933" spans="1:30" s="2" customFormat="1" ht="23.25" customHeight="1">
      <c r="A933" s="278"/>
      <c r="B933" s="286" t="s">
        <v>291</v>
      </c>
      <c r="C933" s="280"/>
      <c r="D933" s="280"/>
      <c r="E933" s="280"/>
      <c r="F933" s="282"/>
      <c r="G933" s="282"/>
      <c r="H933" s="282"/>
      <c r="I933" s="416"/>
      <c r="J933" s="284"/>
      <c r="K933" s="43"/>
      <c r="L933" s="43"/>
      <c r="M933" s="43"/>
      <c r="N933" s="9"/>
      <c r="O933" s="9"/>
      <c r="P933" s="9"/>
      <c r="Q933" s="9"/>
      <c r="R933" s="9"/>
      <c r="S933" s="9"/>
      <c r="T933" s="9"/>
      <c r="U933" s="9"/>
      <c r="V933" s="9"/>
      <c r="W933" s="9"/>
      <c r="X933" s="9"/>
      <c r="Y933" s="9"/>
      <c r="Z933" s="9"/>
      <c r="AA933" s="9"/>
      <c r="AB933" s="9"/>
      <c r="AC933" s="9"/>
      <c r="AD933" s="9"/>
    </row>
    <row r="934" spans="1:30" s="2" customFormat="1" ht="23.25" customHeight="1">
      <c r="A934" s="278"/>
      <c r="B934" s="286" t="s">
        <v>283</v>
      </c>
      <c r="C934" s="280"/>
      <c r="D934" s="280"/>
      <c r="E934" s="280"/>
      <c r="F934" s="282"/>
      <c r="G934" s="282"/>
      <c r="H934" s="282"/>
      <c r="I934" s="416">
        <f>I932</f>
        <v>14.6</v>
      </c>
      <c r="J934" s="343" t="s">
        <v>42</v>
      </c>
      <c r="K934" s="44"/>
      <c r="L934" s="44"/>
      <c r="M934" s="44"/>
      <c r="N934" s="9"/>
      <c r="O934" s="9"/>
      <c r="P934" s="9"/>
      <c r="Q934" s="9"/>
      <c r="R934" s="9"/>
      <c r="S934" s="9"/>
      <c r="T934" s="9"/>
      <c r="U934" s="9"/>
      <c r="V934" s="9"/>
      <c r="W934" s="9"/>
      <c r="X934" s="9"/>
      <c r="Y934" s="9"/>
      <c r="Z934" s="9"/>
      <c r="AA934" s="9"/>
      <c r="AB934" s="9"/>
      <c r="AC934" s="9"/>
      <c r="AD934" s="9"/>
    </row>
    <row r="935" spans="1:30" s="2" customFormat="1" ht="23.25" customHeight="1">
      <c r="A935" s="278"/>
      <c r="B935" s="286" t="s">
        <v>290</v>
      </c>
      <c r="C935" s="280"/>
      <c r="D935" s="280"/>
      <c r="E935" s="280"/>
      <c r="F935" s="282"/>
      <c r="G935" s="282"/>
      <c r="H935" s="282"/>
      <c r="I935" s="416"/>
      <c r="J935" s="284"/>
      <c r="K935" s="43"/>
      <c r="L935" s="43"/>
      <c r="M935" s="43"/>
      <c r="N935" s="9"/>
      <c r="O935" s="9"/>
      <c r="P935" s="9"/>
      <c r="Q935" s="9"/>
      <c r="R935" s="9"/>
      <c r="S935" s="9"/>
      <c r="T935" s="9"/>
      <c r="U935" s="9"/>
      <c r="V935" s="9"/>
      <c r="W935" s="9"/>
      <c r="X935" s="9"/>
      <c r="Y935" s="9"/>
      <c r="Z935" s="9"/>
      <c r="AA935" s="9"/>
      <c r="AB935" s="9"/>
      <c r="AC935" s="9"/>
      <c r="AD935" s="9"/>
    </row>
    <row r="936" spans="1:30" s="2" customFormat="1" ht="23.25" customHeight="1">
      <c r="A936" s="278"/>
      <c r="B936" s="286" t="s">
        <v>283</v>
      </c>
      <c r="C936" s="280"/>
      <c r="D936" s="280"/>
      <c r="E936" s="280"/>
      <c r="F936" s="282"/>
      <c r="G936" s="282"/>
      <c r="H936" s="282"/>
      <c r="I936" s="416">
        <f>I934</f>
        <v>14.6</v>
      </c>
      <c r="J936" s="343" t="s">
        <v>42</v>
      </c>
      <c r="K936" s="44"/>
      <c r="L936" s="44"/>
      <c r="M936" s="44"/>
      <c r="N936" s="9"/>
      <c r="O936" s="9"/>
      <c r="P936" s="9"/>
      <c r="Q936" s="9"/>
      <c r="R936" s="9"/>
      <c r="S936" s="9"/>
      <c r="T936" s="9"/>
      <c r="U936" s="9"/>
      <c r="V936" s="9"/>
      <c r="W936" s="9"/>
      <c r="X936" s="9"/>
      <c r="Y936" s="9"/>
      <c r="Z936" s="9"/>
      <c r="AA936" s="9"/>
      <c r="AB936" s="9"/>
      <c r="AC936" s="9"/>
      <c r="AD936" s="9"/>
    </row>
    <row r="937" spans="1:30" s="2" customFormat="1" ht="23.25" customHeight="1">
      <c r="A937" s="278"/>
      <c r="B937" s="286" t="s">
        <v>289</v>
      </c>
      <c r="C937" s="280"/>
      <c r="D937" s="280"/>
      <c r="E937" s="280"/>
      <c r="F937" s="282"/>
      <c r="G937" s="282"/>
      <c r="H937" s="282"/>
      <c r="I937" s="416"/>
      <c r="J937" s="284"/>
      <c r="K937" s="43"/>
      <c r="L937" s="43"/>
      <c r="M937" s="43"/>
      <c r="N937" s="9"/>
      <c r="O937" s="9"/>
      <c r="P937" s="9"/>
      <c r="Q937" s="9"/>
      <c r="R937" s="9"/>
      <c r="S937" s="9"/>
      <c r="T937" s="9"/>
      <c r="U937" s="9"/>
      <c r="V937" s="9"/>
      <c r="W937" s="9"/>
      <c r="X937" s="9"/>
      <c r="Y937" s="9"/>
      <c r="Z937" s="9"/>
      <c r="AA937" s="9"/>
      <c r="AB937" s="9"/>
      <c r="AC937" s="9"/>
      <c r="AD937" s="9"/>
    </row>
    <row r="938" spans="1:30" s="2" customFormat="1" ht="23.25" customHeight="1">
      <c r="A938" s="278"/>
      <c r="B938" s="286" t="s">
        <v>283</v>
      </c>
      <c r="C938" s="280"/>
      <c r="D938" s="280"/>
      <c r="E938" s="280"/>
      <c r="F938" s="282"/>
      <c r="G938" s="282"/>
      <c r="H938" s="282"/>
      <c r="I938" s="416">
        <f>I936</f>
        <v>14.6</v>
      </c>
      <c r="J938" s="343" t="s">
        <v>42</v>
      </c>
      <c r="K938" s="44"/>
      <c r="L938" s="44"/>
      <c r="M938" s="44"/>
      <c r="N938" s="9"/>
      <c r="O938" s="9"/>
      <c r="P938" s="9"/>
      <c r="Q938" s="9"/>
      <c r="R938" s="9"/>
      <c r="S938" s="9"/>
      <c r="T938" s="9"/>
      <c r="U938" s="9"/>
      <c r="V938" s="9"/>
      <c r="W938" s="9"/>
      <c r="X938" s="9"/>
      <c r="Y938" s="9"/>
      <c r="Z938" s="9"/>
      <c r="AA938" s="9"/>
      <c r="AB938" s="9"/>
      <c r="AC938" s="9"/>
      <c r="AD938" s="9"/>
    </row>
    <row r="939" spans="1:30" s="2" customFormat="1" ht="23.25" customHeight="1">
      <c r="A939" s="278"/>
      <c r="B939" s="286" t="s">
        <v>288</v>
      </c>
      <c r="C939" s="280"/>
      <c r="D939" s="280"/>
      <c r="E939" s="280"/>
      <c r="F939" s="282"/>
      <c r="G939" s="282"/>
      <c r="H939" s="282"/>
      <c r="I939" s="283"/>
      <c r="J939" s="284"/>
      <c r="K939" s="43"/>
      <c r="L939" s="43"/>
      <c r="M939" s="43"/>
      <c r="N939" s="9"/>
      <c r="O939" s="9"/>
      <c r="P939" s="9"/>
      <c r="Q939" s="9"/>
      <c r="R939" s="9"/>
      <c r="S939" s="9"/>
      <c r="T939" s="9"/>
      <c r="U939" s="9"/>
      <c r="V939" s="9"/>
      <c r="W939" s="9"/>
      <c r="X939" s="9"/>
      <c r="Y939" s="9"/>
      <c r="Z939" s="9"/>
      <c r="AA939" s="9"/>
      <c r="AB939" s="9"/>
      <c r="AC939" s="9"/>
      <c r="AD939" s="9"/>
    </row>
    <row r="940" spans="1:30" s="2" customFormat="1" ht="23.25" customHeight="1">
      <c r="A940" s="278"/>
      <c r="B940" s="286" t="s">
        <v>283</v>
      </c>
      <c r="C940" s="280"/>
      <c r="D940" s="280"/>
      <c r="E940" s="280"/>
      <c r="F940" s="282"/>
      <c r="G940" s="282"/>
      <c r="H940" s="282"/>
      <c r="I940" s="416">
        <f>I938</f>
        <v>14.6</v>
      </c>
      <c r="J940" s="343" t="s">
        <v>42</v>
      </c>
      <c r="K940" s="44"/>
      <c r="L940" s="44"/>
      <c r="M940" s="44"/>
      <c r="N940" s="9"/>
      <c r="O940" s="9"/>
      <c r="P940" s="9"/>
      <c r="Q940" s="9"/>
      <c r="R940" s="9"/>
      <c r="S940" s="9"/>
      <c r="T940" s="9"/>
      <c r="U940" s="9"/>
      <c r="V940" s="9"/>
      <c r="W940" s="9"/>
      <c r="X940" s="9"/>
      <c r="Y940" s="9"/>
      <c r="Z940" s="9"/>
      <c r="AA940" s="9"/>
      <c r="AB940" s="9"/>
      <c r="AC940" s="9"/>
      <c r="AD940" s="9"/>
    </row>
    <row r="941" spans="1:30" s="2" customFormat="1" ht="23.25" customHeight="1">
      <c r="A941" s="278"/>
      <c r="B941" s="286" t="s">
        <v>287</v>
      </c>
      <c r="C941" s="280"/>
      <c r="D941" s="280"/>
      <c r="E941" s="280"/>
      <c r="F941" s="282"/>
      <c r="G941" s="282"/>
      <c r="H941" s="282"/>
      <c r="I941" s="283"/>
      <c r="J941" s="284"/>
      <c r="K941" s="43"/>
      <c r="L941" s="43"/>
      <c r="M941" s="43"/>
      <c r="N941" s="9"/>
      <c r="O941" s="9"/>
      <c r="P941" s="9"/>
      <c r="Q941" s="9"/>
      <c r="R941" s="9"/>
      <c r="S941" s="9"/>
      <c r="T941" s="9"/>
      <c r="U941" s="9"/>
      <c r="V941" s="9"/>
      <c r="W941" s="9"/>
      <c r="X941" s="9"/>
      <c r="Y941" s="9"/>
      <c r="Z941" s="9"/>
      <c r="AA941" s="9"/>
      <c r="AB941" s="9"/>
      <c r="AC941" s="9"/>
      <c r="AD941" s="9"/>
    </row>
    <row r="942" spans="1:30" s="33" customFormat="1" ht="23.25" customHeight="1">
      <c r="A942" s="278"/>
      <c r="B942" s="480" t="s">
        <v>579</v>
      </c>
      <c r="C942" s="369">
        <v>1</v>
      </c>
      <c r="D942" s="294">
        <v>2</v>
      </c>
      <c r="E942" s="369">
        <v>1</v>
      </c>
      <c r="F942" s="300">
        <v>3</v>
      </c>
      <c r="G942" s="295"/>
      <c r="H942" s="295">
        <v>0.72</v>
      </c>
      <c r="I942" s="283">
        <f>PRODUCT(C942:H942)</f>
        <v>4.32</v>
      </c>
      <c r="J942" s="284"/>
      <c r="K942" s="43"/>
      <c r="L942" s="43"/>
      <c r="M942" s="43"/>
      <c r="N942" s="34"/>
      <c r="O942" s="34"/>
      <c r="P942" s="34"/>
      <c r="Q942" s="34"/>
      <c r="R942" s="34"/>
      <c r="S942" s="34"/>
      <c r="T942" s="34"/>
      <c r="U942" s="34"/>
      <c r="V942" s="34"/>
      <c r="W942" s="34"/>
      <c r="X942" s="34"/>
      <c r="Y942" s="34"/>
      <c r="Z942" s="34"/>
      <c r="AA942" s="34"/>
      <c r="AB942" s="34"/>
      <c r="AC942" s="34"/>
      <c r="AD942" s="34"/>
    </row>
    <row r="943" spans="1:30" s="33" customFormat="1" ht="23.25" customHeight="1">
      <c r="A943" s="278"/>
      <c r="B943" s="480" t="s">
        <v>577</v>
      </c>
      <c r="C943" s="481">
        <v>0.5</v>
      </c>
      <c r="D943" s="294">
        <v>2</v>
      </c>
      <c r="E943" s="369">
        <v>9</v>
      </c>
      <c r="F943" s="295">
        <v>0.3</v>
      </c>
      <c r="G943" s="295"/>
      <c r="H943" s="295">
        <v>0.15</v>
      </c>
      <c r="I943" s="283">
        <f>PRODUCT(C943:H943)</f>
        <v>0.41</v>
      </c>
      <c r="J943" s="284"/>
      <c r="K943" s="43"/>
      <c r="L943" s="43"/>
      <c r="M943" s="43"/>
      <c r="N943" s="34"/>
      <c r="O943" s="34"/>
      <c r="P943" s="34"/>
      <c r="Q943" s="34"/>
      <c r="R943" s="34"/>
      <c r="S943" s="34"/>
      <c r="T943" s="34"/>
      <c r="U943" s="34"/>
      <c r="V943" s="34"/>
      <c r="W943" s="34"/>
      <c r="X943" s="34"/>
      <c r="Y943" s="34"/>
      <c r="Z943" s="34"/>
      <c r="AA943" s="34"/>
      <c r="AB943" s="34"/>
      <c r="AC943" s="34"/>
      <c r="AD943" s="34"/>
    </row>
    <row r="944" spans="1:30" s="33" customFormat="1" ht="23.25" customHeight="1">
      <c r="A944" s="278"/>
      <c r="B944" s="480" t="s">
        <v>578</v>
      </c>
      <c r="C944" s="369">
        <v>1</v>
      </c>
      <c r="D944" s="294">
        <v>2</v>
      </c>
      <c r="E944" s="369">
        <v>1</v>
      </c>
      <c r="F944" s="300">
        <v>4.05</v>
      </c>
      <c r="G944" s="295"/>
      <c r="H944" s="295">
        <v>0.72</v>
      </c>
      <c r="I944" s="283">
        <f>PRODUCT(C944:H944)</f>
        <v>5.83</v>
      </c>
      <c r="J944" s="284"/>
      <c r="K944" s="43"/>
      <c r="L944" s="43"/>
      <c r="M944" s="43"/>
      <c r="N944" s="34"/>
      <c r="O944" s="34"/>
      <c r="P944" s="34"/>
      <c r="Q944" s="34"/>
      <c r="R944" s="34"/>
      <c r="S944" s="34"/>
      <c r="T944" s="34"/>
      <c r="U944" s="34"/>
      <c r="V944" s="34"/>
      <c r="W944" s="34"/>
      <c r="X944" s="34"/>
      <c r="Y944" s="34"/>
      <c r="Z944" s="34"/>
      <c r="AA944" s="34"/>
      <c r="AB944" s="34"/>
      <c r="AC944" s="34"/>
      <c r="AD944" s="34"/>
    </row>
    <row r="945" spans="1:30" s="33" customFormat="1" ht="23.25" customHeight="1">
      <c r="A945" s="278"/>
      <c r="B945" s="480" t="s">
        <v>577</v>
      </c>
      <c r="C945" s="481">
        <v>0.5</v>
      </c>
      <c r="D945" s="294">
        <v>2</v>
      </c>
      <c r="E945" s="369">
        <v>10</v>
      </c>
      <c r="F945" s="295">
        <v>0.3</v>
      </c>
      <c r="G945" s="295"/>
      <c r="H945" s="295">
        <v>0.15</v>
      </c>
      <c r="I945" s="283">
        <f>PRODUCT(C945:H945)</f>
        <v>0.45</v>
      </c>
      <c r="J945" s="284"/>
      <c r="K945" s="43"/>
      <c r="L945" s="43"/>
      <c r="M945" s="43"/>
      <c r="N945" s="34"/>
      <c r="O945" s="34"/>
      <c r="P945" s="34"/>
      <c r="Q945" s="34"/>
      <c r="R945" s="34"/>
      <c r="S945" s="34"/>
      <c r="T945" s="34"/>
      <c r="U945" s="34"/>
      <c r="V945" s="34"/>
      <c r="W945" s="34"/>
      <c r="X945" s="34"/>
      <c r="Y945" s="34"/>
      <c r="Z945" s="34"/>
      <c r="AA945" s="34"/>
      <c r="AB945" s="34"/>
      <c r="AC945" s="34"/>
      <c r="AD945" s="34"/>
    </row>
    <row r="946" spans="1:30" s="33" customFormat="1" ht="23.25" customHeight="1">
      <c r="A946" s="278"/>
      <c r="B946" s="480"/>
      <c r="C946" s="481"/>
      <c r="D946" s="294"/>
      <c r="E946" s="369"/>
      <c r="F946" s="295"/>
      <c r="G946" s="604"/>
      <c r="H946" s="605"/>
      <c r="I946" s="283">
        <f>SUM(I942:I945)</f>
        <v>11.01</v>
      </c>
      <c r="J946" s="284"/>
      <c r="K946" s="43"/>
      <c r="L946" s="43"/>
      <c r="M946" s="43"/>
      <c r="N946" s="34"/>
      <c r="O946" s="34"/>
      <c r="P946" s="34"/>
      <c r="Q946" s="34"/>
      <c r="R946" s="34"/>
      <c r="S946" s="34"/>
      <c r="T946" s="34"/>
      <c r="U946" s="34"/>
      <c r="V946" s="34"/>
      <c r="W946" s="34"/>
      <c r="X946" s="34"/>
      <c r="Y946" s="34"/>
      <c r="Z946" s="34"/>
      <c r="AA946" s="34"/>
      <c r="AB946" s="34"/>
      <c r="AC946" s="34"/>
      <c r="AD946" s="34"/>
    </row>
    <row r="947" spans="1:30" s="33" customFormat="1" ht="23.25" customHeight="1">
      <c r="A947" s="278"/>
      <c r="B947" s="480"/>
      <c r="C947" s="481"/>
      <c r="D947" s="294"/>
      <c r="E947" s="369"/>
      <c r="F947" s="295"/>
      <c r="G947" s="599" t="s">
        <v>55</v>
      </c>
      <c r="H947" s="600"/>
      <c r="I947" s="416">
        <f>ROUNDUP(I946,0)</f>
        <v>12</v>
      </c>
      <c r="J947" s="343" t="s">
        <v>42</v>
      </c>
      <c r="K947" s="44"/>
      <c r="L947" s="44"/>
      <c r="M947" s="44"/>
      <c r="N947" s="34"/>
      <c r="O947" s="34"/>
      <c r="P947" s="34"/>
      <c r="Q947" s="34"/>
      <c r="R947" s="34"/>
      <c r="S947" s="34"/>
      <c r="T947" s="34"/>
      <c r="U947" s="34"/>
      <c r="V947" s="34"/>
      <c r="W947" s="34"/>
      <c r="X947" s="34"/>
      <c r="Y947" s="34"/>
      <c r="Z947" s="34"/>
      <c r="AA947" s="34"/>
      <c r="AB947" s="34"/>
      <c r="AC947" s="34"/>
      <c r="AD947" s="34"/>
    </row>
    <row r="948" spans="1:30" s="163" customFormat="1" ht="23.25" customHeight="1">
      <c r="A948" s="288">
        <v>13.1</v>
      </c>
      <c r="B948" s="483" t="s">
        <v>19</v>
      </c>
      <c r="C948" s="481"/>
      <c r="D948" s="294"/>
      <c r="E948" s="369"/>
      <c r="F948" s="295"/>
      <c r="G948" s="291"/>
      <c r="H948" s="484"/>
      <c r="I948" s="416"/>
      <c r="J948" s="343"/>
      <c r="K948" s="161"/>
      <c r="L948" s="161"/>
      <c r="M948" s="161"/>
      <c r="N948" s="162"/>
      <c r="O948" s="162"/>
      <c r="P948" s="162"/>
      <c r="Q948" s="162"/>
      <c r="R948" s="162"/>
      <c r="S948" s="162"/>
      <c r="T948" s="162"/>
      <c r="U948" s="162"/>
      <c r="V948" s="162"/>
      <c r="W948" s="162"/>
      <c r="X948" s="162"/>
      <c r="Y948" s="162"/>
      <c r="Z948" s="162"/>
      <c r="AA948" s="162"/>
      <c r="AB948" s="162"/>
      <c r="AC948" s="162"/>
      <c r="AD948" s="162"/>
    </row>
    <row r="949" spans="1:30" s="6" customFormat="1">
      <c r="A949" s="432"/>
      <c r="B949" s="432" t="s">
        <v>900</v>
      </c>
      <c r="C949" s="434"/>
      <c r="D949" s="434"/>
      <c r="E949" s="434"/>
      <c r="F949" s="435"/>
      <c r="G949" s="435"/>
      <c r="H949" s="435"/>
      <c r="I949" s="436"/>
      <c r="J949" s="437"/>
    </row>
    <row r="950" spans="1:30" s="6" customFormat="1">
      <c r="A950" s="427"/>
      <c r="B950" s="427" t="s">
        <v>901</v>
      </c>
      <c r="C950" s="428">
        <v>1</v>
      </c>
      <c r="D950" s="428">
        <v>1</v>
      </c>
      <c r="E950" s="428">
        <v>3</v>
      </c>
      <c r="F950" s="430">
        <v>2.4</v>
      </c>
      <c r="G950" s="430">
        <v>2.4</v>
      </c>
      <c r="H950" s="430">
        <v>0.6</v>
      </c>
      <c r="I950" s="430">
        <f>PRODUCT(C950:H950)</f>
        <v>10.37</v>
      </c>
      <c r="J950" s="431"/>
    </row>
    <row r="951" spans="1:30" s="6" customFormat="1">
      <c r="A951" s="427"/>
      <c r="B951" s="427" t="s">
        <v>902</v>
      </c>
      <c r="C951" s="428">
        <v>1</v>
      </c>
      <c r="D951" s="428">
        <v>1</v>
      </c>
      <c r="E951" s="428">
        <v>6</v>
      </c>
      <c r="F951" s="430">
        <v>2.7</v>
      </c>
      <c r="G951" s="430">
        <v>2.7</v>
      </c>
      <c r="H951" s="430">
        <v>0.7</v>
      </c>
      <c r="I951" s="430">
        <f t="shared" ref="I951:I988" si="41">PRODUCT(C951:H951)</f>
        <v>30.62</v>
      </c>
      <c r="J951" s="431"/>
    </row>
    <row r="952" spans="1:30" s="6" customFormat="1">
      <c r="A952" s="427"/>
      <c r="B952" s="427" t="s">
        <v>903</v>
      </c>
      <c r="C952" s="428">
        <v>1</v>
      </c>
      <c r="D952" s="428">
        <v>1</v>
      </c>
      <c r="E952" s="428">
        <v>3</v>
      </c>
      <c r="F952" s="430">
        <v>3</v>
      </c>
      <c r="G952" s="430">
        <v>3</v>
      </c>
      <c r="H952" s="430">
        <v>0.85</v>
      </c>
      <c r="I952" s="430">
        <f t="shared" si="41"/>
        <v>22.95</v>
      </c>
      <c r="J952" s="431"/>
    </row>
    <row r="953" spans="1:30" s="6" customFormat="1">
      <c r="A953" s="427"/>
      <c r="B953" s="427" t="s">
        <v>904</v>
      </c>
      <c r="C953" s="428">
        <v>1</v>
      </c>
      <c r="D953" s="428">
        <v>1</v>
      </c>
      <c r="E953" s="428">
        <v>1</v>
      </c>
      <c r="F953" s="430">
        <v>3.5</v>
      </c>
      <c r="G953" s="430">
        <v>3.5</v>
      </c>
      <c r="H953" s="430">
        <v>0.9</v>
      </c>
      <c r="I953" s="430">
        <f t="shared" si="41"/>
        <v>11.03</v>
      </c>
      <c r="J953" s="431"/>
    </row>
    <row r="954" spans="1:30" s="6" customFormat="1">
      <c r="A954" s="427"/>
      <c r="B954" s="427" t="s">
        <v>905</v>
      </c>
      <c r="C954" s="428">
        <v>1</v>
      </c>
      <c r="D954" s="428">
        <v>1</v>
      </c>
      <c r="E954" s="428">
        <v>2</v>
      </c>
      <c r="F954" s="430">
        <v>6.2</v>
      </c>
      <c r="G954" s="430">
        <v>3.95</v>
      </c>
      <c r="H954" s="430">
        <v>0.85</v>
      </c>
      <c r="I954" s="430">
        <f t="shared" si="41"/>
        <v>41.63</v>
      </c>
      <c r="J954" s="431"/>
    </row>
    <row r="955" spans="1:30" s="6" customFormat="1">
      <c r="A955" s="427"/>
      <c r="B955" s="427" t="s">
        <v>906</v>
      </c>
      <c r="C955" s="428">
        <v>-1</v>
      </c>
      <c r="D955" s="428">
        <v>1</v>
      </c>
      <c r="E955" s="428">
        <v>2</v>
      </c>
      <c r="F955" s="430">
        <v>3.75</v>
      </c>
      <c r="G955" s="430">
        <v>1.25</v>
      </c>
      <c r="H955" s="430">
        <v>0.85</v>
      </c>
      <c r="I955" s="430">
        <f t="shared" si="41"/>
        <v>-7.97</v>
      </c>
      <c r="J955" s="431"/>
    </row>
    <row r="956" spans="1:30" s="6" customFormat="1">
      <c r="A956" s="427"/>
      <c r="B956" s="427" t="s">
        <v>907</v>
      </c>
      <c r="C956" s="428">
        <v>-1</v>
      </c>
      <c r="D956" s="428">
        <v>1</v>
      </c>
      <c r="E956" s="428">
        <v>2</v>
      </c>
      <c r="F956" s="430">
        <v>1.55</v>
      </c>
      <c r="G956" s="430">
        <v>1.2</v>
      </c>
      <c r="H956" s="430">
        <v>0.85</v>
      </c>
      <c r="I956" s="430">
        <f t="shared" si="41"/>
        <v>-3.16</v>
      </c>
      <c r="J956" s="431"/>
    </row>
    <row r="957" spans="1:30" s="6" customFormat="1">
      <c r="A957" s="427"/>
      <c r="B957" s="427" t="s">
        <v>908</v>
      </c>
      <c r="C957" s="428">
        <v>1</v>
      </c>
      <c r="D957" s="428">
        <v>1</v>
      </c>
      <c r="E957" s="428">
        <v>2</v>
      </c>
      <c r="F957" s="430">
        <v>2.4</v>
      </c>
      <c r="G957" s="430">
        <v>4</v>
      </c>
      <c r="H957" s="430">
        <v>0.85</v>
      </c>
      <c r="I957" s="430">
        <f t="shared" si="41"/>
        <v>16.32</v>
      </c>
      <c r="J957" s="431"/>
    </row>
    <row r="958" spans="1:30" s="6" customFormat="1">
      <c r="A958" s="427"/>
      <c r="B958" s="427" t="s">
        <v>909</v>
      </c>
      <c r="C958" s="428">
        <v>1</v>
      </c>
      <c r="D958" s="428">
        <v>1</v>
      </c>
      <c r="E958" s="428">
        <v>2</v>
      </c>
      <c r="F958" s="430">
        <v>3</v>
      </c>
      <c r="G958" s="430">
        <v>4</v>
      </c>
      <c r="H958" s="430">
        <v>0.85</v>
      </c>
      <c r="I958" s="430">
        <f t="shared" si="41"/>
        <v>20.399999999999999</v>
      </c>
      <c r="J958" s="431"/>
    </row>
    <row r="959" spans="1:30" s="6" customFormat="1">
      <c r="A959" s="427"/>
      <c r="B959" s="427" t="s">
        <v>910</v>
      </c>
      <c r="C959" s="428">
        <v>1</v>
      </c>
      <c r="D959" s="428">
        <v>1</v>
      </c>
      <c r="E959" s="428">
        <v>1</v>
      </c>
      <c r="F959" s="430">
        <v>4.2</v>
      </c>
      <c r="G959" s="430">
        <v>8.4</v>
      </c>
      <c r="H959" s="430">
        <v>0.85</v>
      </c>
      <c r="I959" s="430">
        <f t="shared" si="41"/>
        <v>29.99</v>
      </c>
      <c r="J959" s="431"/>
    </row>
    <row r="960" spans="1:30" s="6" customFormat="1">
      <c r="A960" s="427"/>
      <c r="B960" s="427" t="s">
        <v>911</v>
      </c>
      <c r="C960" s="428">
        <v>1</v>
      </c>
      <c r="D960" s="428">
        <v>1</v>
      </c>
      <c r="E960" s="428">
        <v>2</v>
      </c>
      <c r="F960" s="430">
        <v>2.2999999999999998</v>
      </c>
      <c r="G960" s="430">
        <v>2.7</v>
      </c>
      <c r="H960" s="430">
        <v>0.85</v>
      </c>
      <c r="I960" s="430">
        <f t="shared" si="41"/>
        <v>10.56</v>
      </c>
      <c r="J960" s="431"/>
    </row>
    <row r="961" spans="1:10" s="6" customFormat="1">
      <c r="A961" s="427"/>
      <c r="B961" s="427" t="s">
        <v>911</v>
      </c>
      <c r="C961" s="428">
        <v>1</v>
      </c>
      <c r="D961" s="428">
        <v>1</v>
      </c>
      <c r="E961" s="428">
        <v>2</v>
      </c>
      <c r="F961" s="430">
        <v>2.7</v>
      </c>
      <c r="G961" s="430">
        <v>4.2</v>
      </c>
      <c r="H961" s="430">
        <v>0.85</v>
      </c>
      <c r="I961" s="430">
        <f t="shared" si="41"/>
        <v>19.28</v>
      </c>
      <c r="J961" s="431"/>
    </row>
    <row r="962" spans="1:10" s="6" customFormat="1">
      <c r="A962" s="427"/>
      <c r="B962" s="427" t="s">
        <v>912</v>
      </c>
      <c r="C962" s="428">
        <v>1</v>
      </c>
      <c r="D962" s="428">
        <v>1</v>
      </c>
      <c r="E962" s="428">
        <v>1</v>
      </c>
      <c r="F962" s="430">
        <v>10.3</v>
      </c>
      <c r="G962" s="430">
        <v>5</v>
      </c>
      <c r="H962" s="430">
        <v>0.9</v>
      </c>
      <c r="I962" s="430">
        <f t="shared" si="41"/>
        <v>46.35</v>
      </c>
      <c r="J962" s="431"/>
    </row>
    <row r="963" spans="1:10" s="6" customFormat="1">
      <c r="A963" s="427"/>
      <c r="B963" s="427" t="s">
        <v>913</v>
      </c>
      <c r="C963" s="428">
        <v>1</v>
      </c>
      <c r="D963" s="428">
        <v>1</v>
      </c>
      <c r="E963" s="428">
        <v>1</v>
      </c>
      <c r="F963" s="430">
        <v>2.7</v>
      </c>
      <c r="G963" s="430">
        <v>7</v>
      </c>
      <c r="H963" s="430">
        <v>0.9</v>
      </c>
      <c r="I963" s="430">
        <f t="shared" si="41"/>
        <v>17.010000000000002</v>
      </c>
      <c r="J963" s="431"/>
    </row>
    <row r="964" spans="1:10" s="6" customFormat="1">
      <c r="A964" s="427"/>
      <c r="B964" s="427" t="s">
        <v>913</v>
      </c>
      <c r="C964" s="428">
        <v>1</v>
      </c>
      <c r="D964" s="428">
        <v>1</v>
      </c>
      <c r="E964" s="428">
        <v>1</v>
      </c>
      <c r="F964" s="430">
        <v>12.55</v>
      </c>
      <c r="G964" s="430">
        <v>3</v>
      </c>
      <c r="H964" s="430">
        <v>0.9</v>
      </c>
      <c r="I964" s="430">
        <f t="shared" si="41"/>
        <v>33.89</v>
      </c>
      <c r="J964" s="431"/>
    </row>
    <row r="965" spans="1:10" s="6" customFormat="1">
      <c r="A965" s="427"/>
      <c r="B965" s="427" t="s">
        <v>914</v>
      </c>
      <c r="C965" s="428">
        <v>-1</v>
      </c>
      <c r="D965" s="428">
        <v>1</v>
      </c>
      <c r="E965" s="428">
        <v>1</v>
      </c>
      <c r="F965" s="430">
        <v>3.65</v>
      </c>
      <c r="G965" s="430">
        <v>1.6</v>
      </c>
      <c r="H965" s="430">
        <v>0.9</v>
      </c>
      <c r="I965" s="430">
        <f t="shared" si="41"/>
        <v>-5.26</v>
      </c>
      <c r="J965" s="431"/>
    </row>
    <row r="966" spans="1:10" s="6" customFormat="1">
      <c r="A966" s="427"/>
      <c r="B966" s="427" t="s">
        <v>912</v>
      </c>
      <c r="C966" s="428">
        <v>1</v>
      </c>
      <c r="D966" s="428">
        <v>1</v>
      </c>
      <c r="E966" s="428">
        <v>1</v>
      </c>
      <c r="F966" s="430">
        <v>3.5</v>
      </c>
      <c r="G966" s="430">
        <v>6.3</v>
      </c>
      <c r="H966" s="430">
        <v>0.9</v>
      </c>
      <c r="I966" s="430">
        <f t="shared" si="41"/>
        <v>19.850000000000001</v>
      </c>
      <c r="J966" s="431"/>
    </row>
    <row r="967" spans="1:10" s="6" customFormat="1">
      <c r="A967" s="427"/>
      <c r="B967" s="427" t="s">
        <v>913</v>
      </c>
      <c r="C967" s="428">
        <v>1</v>
      </c>
      <c r="D967" s="428">
        <v>1</v>
      </c>
      <c r="E967" s="428">
        <v>1</v>
      </c>
      <c r="F967" s="430">
        <v>2.6</v>
      </c>
      <c r="G967" s="430">
        <v>5.0999999999999996</v>
      </c>
      <c r="H967" s="430">
        <v>0.9</v>
      </c>
      <c r="I967" s="430">
        <f t="shared" si="41"/>
        <v>11.93</v>
      </c>
      <c r="J967" s="431"/>
    </row>
    <row r="968" spans="1:10" s="6" customFormat="1">
      <c r="A968" s="427"/>
      <c r="B968" s="427" t="s">
        <v>915</v>
      </c>
      <c r="C968" s="428">
        <v>1</v>
      </c>
      <c r="D968" s="428">
        <v>1</v>
      </c>
      <c r="E968" s="428">
        <v>1</v>
      </c>
      <c r="F968" s="430">
        <v>3.95</v>
      </c>
      <c r="G968" s="430">
        <v>8.25</v>
      </c>
      <c r="H968" s="430">
        <v>0.85</v>
      </c>
      <c r="I968" s="430">
        <f t="shared" si="41"/>
        <v>27.7</v>
      </c>
      <c r="J968" s="431"/>
    </row>
    <row r="969" spans="1:10" s="6" customFormat="1">
      <c r="A969" s="427"/>
      <c r="B969" s="427" t="s">
        <v>916</v>
      </c>
      <c r="C969" s="428">
        <v>-1</v>
      </c>
      <c r="D969" s="428">
        <v>1</v>
      </c>
      <c r="E969" s="428">
        <v>1</v>
      </c>
      <c r="F969" s="430">
        <v>1.5</v>
      </c>
      <c r="G969" s="430">
        <v>3.55</v>
      </c>
      <c r="H969" s="430">
        <v>0.85</v>
      </c>
      <c r="I969" s="430">
        <f t="shared" si="41"/>
        <v>-4.53</v>
      </c>
      <c r="J969" s="431"/>
    </row>
    <row r="970" spans="1:10" s="6" customFormat="1">
      <c r="A970" s="427"/>
      <c r="B970" s="427" t="s">
        <v>907</v>
      </c>
      <c r="C970" s="428">
        <v>-1</v>
      </c>
      <c r="D970" s="428">
        <v>1</v>
      </c>
      <c r="E970" s="428">
        <v>1</v>
      </c>
      <c r="F970" s="430">
        <v>1.25</v>
      </c>
      <c r="G970" s="430">
        <v>3.55</v>
      </c>
      <c r="H970" s="430">
        <v>0.85</v>
      </c>
      <c r="I970" s="430">
        <f t="shared" si="41"/>
        <v>-3.77</v>
      </c>
      <c r="J970" s="431"/>
    </row>
    <row r="971" spans="1:10" s="6" customFormat="1">
      <c r="A971" s="427"/>
      <c r="B971" s="427" t="s">
        <v>917</v>
      </c>
      <c r="C971" s="428">
        <v>1</v>
      </c>
      <c r="D971" s="428">
        <v>1</v>
      </c>
      <c r="E971" s="428">
        <v>8</v>
      </c>
      <c r="F971" s="430">
        <v>4.55</v>
      </c>
      <c r="G971" s="430">
        <v>3.2</v>
      </c>
      <c r="H971" s="430">
        <v>0.85</v>
      </c>
      <c r="I971" s="430">
        <f t="shared" si="41"/>
        <v>99.01</v>
      </c>
      <c r="J971" s="431"/>
    </row>
    <row r="972" spans="1:10" s="6" customFormat="1">
      <c r="A972" s="427"/>
      <c r="B972" s="427" t="s">
        <v>918</v>
      </c>
      <c r="C972" s="428">
        <v>1</v>
      </c>
      <c r="D972" s="428">
        <v>1</v>
      </c>
      <c r="E972" s="428">
        <v>3</v>
      </c>
      <c r="F972" s="430">
        <v>4</v>
      </c>
      <c r="G972" s="430">
        <v>6.2</v>
      </c>
      <c r="H972" s="430">
        <v>0.85</v>
      </c>
      <c r="I972" s="430">
        <f t="shared" si="41"/>
        <v>63.24</v>
      </c>
      <c r="J972" s="431"/>
    </row>
    <row r="973" spans="1:10" s="6" customFormat="1">
      <c r="A973" s="427"/>
      <c r="B973" s="427" t="s">
        <v>916</v>
      </c>
      <c r="C973" s="428">
        <v>-1</v>
      </c>
      <c r="D973" s="428">
        <v>1</v>
      </c>
      <c r="E973" s="428">
        <v>3</v>
      </c>
      <c r="F973" s="430">
        <v>3.8</v>
      </c>
      <c r="G973" s="430">
        <v>1.3</v>
      </c>
      <c r="H973" s="430">
        <v>0.85</v>
      </c>
      <c r="I973" s="430">
        <f t="shared" si="41"/>
        <v>-12.6</v>
      </c>
      <c r="J973" s="431"/>
    </row>
    <row r="974" spans="1:10" s="6" customFormat="1">
      <c r="A974" s="427"/>
      <c r="B974" s="427" t="s">
        <v>907</v>
      </c>
      <c r="C974" s="428">
        <v>-1</v>
      </c>
      <c r="D974" s="428">
        <v>1</v>
      </c>
      <c r="E974" s="428">
        <v>3</v>
      </c>
      <c r="F974" s="430">
        <v>1.6</v>
      </c>
      <c r="G974" s="430">
        <v>1.2</v>
      </c>
      <c r="H974" s="430">
        <v>0.85</v>
      </c>
      <c r="I974" s="430">
        <f t="shared" si="41"/>
        <v>-4.9000000000000004</v>
      </c>
      <c r="J974" s="431"/>
    </row>
    <row r="975" spans="1:10" s="6" customFormat="1">
      <c r="A975" s="427"/>
      <c r="B975" s="427" t="s">
        <v>919</v>
      </c>
      <c r="C975" s="428">
        <v>1</v>
      </c>
      <c r="D975" s="428">
        <v>1</v>
      </c>
      <c r="E975" s="428">
        <v>6</v>
      </c>
      <c r="F975" s="430">
        <v>4</v>
      </c>
      <c r="G975" s="430">
        <v>3.2</v>
      </c>
      <c r="H975" s="430">
        <v>0.85</v>
      </c>
      <c r="I975" s="430">
        <f t="shared" si="41"/>
        <v>65.28</v>
      </c>
      <c r="J975" s="431"/>
    </row>
    <row r="976" spans="1:10" s="6" customFormat="1">
      <c r="A976" s="427"/>
      <c r="B976" s="427" t="s">
        <v>920</v>
      </c>
      <c r="C976" s="428">
        <v>1</v>
      </c>
      <c r="D976" s="428">
        <v>1</v>
      </c>
      <c r="E976" s="428">
        <v>1</v>
      </c>
      <c r="F976" s="430">
        <v>8.8000000000000007</v>
      </c>
      <c r="G976" s="430">
        <v>13.5</v>
      </c>
      <c r="H976" s="430">
        <v>0.9</v>
      </c>
      <c r="I976" s="430">
        <f t="shared" si="41"/>
        <v>106.92</v>
      </c>
      <c r="J976" s="431"/>
    </row>
    <row r="977" spans="1:10" s="6" customFormat="1">
      <c r="A977" s="427"/>
      <c r="B977" s="427" t="s">
        <v>921</v>
      </c>
      <c r="C977" s="428">
        <v>-1</v>
      </c>
      <c r="D977" s="428">
        <v>1</v>
      </c>
      <c r="E977" s="428">
        <v>1</v>
      </c>
      <c r="F977" s="430">
        <v>1.8</v>
      </c>
      <c r="G977" s="430">
        <v>1</v>
      </c>
      <c r="H977" s="430">
        <v>0.9</v>
      </c>
      <c r="I977" s="430">
        <f t="shared" si="41"/>
        <v>-1.62</v>
      </c>
      <c r="J977" s="431"/>
    </row>
    <row r="978" spans="1:10" s="6" customFormat="1">
      <c r="A978" s="427"/>
      <c r="B978" s="427" t="s">
        <v>907</v>
      </c>
      <c r="C978" s="428">
        <v>-1</v>
      </c>
      <c r="D978" s="428">
        <v>1</v>
      </c>
      <c r="E978" s="428">
        <v>1</v>
      </c>
      <c r="F978" s="430">
        <v>2</v>
      </c>
      <c r="G978" s="430">
        <v>1</v>
      </c>
      <c r="H978" s="430">
        <v>0.9</v>
      </c>
      <c r="I978" s="430">
        <f t="shared" si="41"/>
        <v>-1.8</v>
      </c>
      <c r="J978" s="431"/>
    </row>
    <row r="979" spans="1:10" s="6" customFormat="1">
      <c r="A979" s="427"/>
      <c r="B979" s="427" t="s">
        <v>907</v>
      </c>
      <c r="C979" s="428">
        <v>-1</v>
      </c>
      <c r="D979" s="428">
        <v>1</v>
      </c>
      <c r="E979" s="428">
        <v>1</v>
      </c>
      <c r="F979" s="430">
        <v>3.5</v>
      </c>
      <c r="G979" s="430">
        <v>1.4</v>
      </c>
      <c r="H979" s="430">
        <v>0.9</v>
      </c>
      <c r="I979" s="430">
        <f t="shared" si="41"/>
        <v>-4.41</v>
      </c>
      <c r="J979" s="431"/>
    </row>
    <row r="980" spans="1:10" s="6" customFormat="1">
      <c r="A980" s="427"/>
      <c r="B980" s="427" t="s">
        <v>922</v>
      </c>
      <c r="C980" s="428">
        <v>1</v>
      </c>
      <c r="D980" s="428">
        <v>1</v>
      </c>
      <c r="E980" s="428">
        <v>1</v>
      </c>
      <c r="F980" s="430">
        <v>12.6</v>
      </c>
      <c r="G980" s="430">
        <v>2.7</v>
      </c>
      <c r="H980" s="430">
        <v>0.9</v>
      </c>
      <c r="I980" s="430">
        <f t="shared" si="41"/>
        <v>30.62</v>
      </c>
      <c r="J980" s="431"/>
    </row>
    <row r="981" spans="1:10" s="6" customFormat="1">
      <c r="A981" s="427"/>
      <c r="B981" s="427" t="s">
        <v>921</v>
      </c>
      <c r="C981" s="428">
        <v>-1</v>
      </c>
      <c r="D981" s="428">
        <v>1</v>
      </c>
      <c r="E981" s="428">
        <v>1</v>
      </c>
      <c r="F981" s="430">
        <v>3.5</v>
      </c>
      <c r="G981" s="430">
        <v>1.55</v>
      </c>
      <c r="H981" s="430">
        <v>0.9</v>
      </c>
      <c r="I981" s="430">
        <f t="shared" si="41"/>
        <v>-4.88</v>
      </c>
      <c r="J981" s="431"/>
    </row>
    <row r="982" spans="1:10" s="6" customFormat="1">
      <c r="A982" s="427"/>
      <c r="B982" s="427" t="s">
        <v>923</v>
      </c>
      <c r="C982" s="428">
        <v>1</v>
      </c>
      <c r="D982" s="428">
        <v>1</v>
      </c>
      <c r="E982" s="428">
        <v>1</v>
      </c>
      <c r="F982" s="430">
        <v>9.1999999999999993</v>
      </c>
      <c r="G982" s="430">
        <v>3.75</v>
      </c>
      <c r="H982" s="430">
        <v>0.9</v>
      </c>
      <c r="I982" s="430">
        <f t="shared" si="41"/>
        <v>31.05</v>
      </c>
      <c r="J982" s="431"/>
    </row>
    <row r="983" spans="1:10" s="6" customFormat="1">
      <c r="A983" s="427"/>
      <c r="B983" s="427" t="s">
        <v>924</v>
      </c>
      <c r="C983" s="428">
        <v>1</v>
      </c>
      <c r="D983" s="428">
        <v>1</v>
      </c>
      <c r="E983" s="428">
        <v>1</v>
      </c>
      <c r="F983" s="430">
        <v>2.95</v>
      </c>
      <c r="G983" s="430">
        <v>3</v>
      </c>
      <c r="H983" s="430">
        <v>0.9</v>
      </c>
      <c r="I983" s="430">
        <f t="shared" si="41"/>
        <v>7.97</v>
      </c>
      <c r="J983" s="431"/>
    </row>
    <row r="984" spans="1:10" s="6" customFormat="1">
      <c r="A984" s="427"/>
      <c r="B984" s="427" t="s">
        <v>925</v>
      </c>
      <c r="C984" s="428">
        <v>1</v>
      </c>
      <c r="D984" s="428">
        <v>1</v>
      </c>
      <c r="E984" s="428">
        <v>3</v>
      </c>
      <c r="F984" s="430">
        <v>4.4000000000000004</v>
      </c>
      <c r="G984" s="430">
        <v>3</v>
      </c>
      <c r="H984" s="430">
        <v>0.85</v>
      </c>
      <c r="I984" s="430">
        <f t="shared" si="41"/>
        <v>33.659999999999997</v>
      </c>
      <c r="J984" s="431"/>
    </row>
    <row r="985" spans="1:10" s="6" customFormat="1">
      <c r="A985" s="427"/>
      <c r="B985" s="427" t="s">
        <v>926</v>
      </c>
      <c r="C985" s="428">
        <v>1</v>
      </c>
      <c r="D985" s="428">
        <v>1</v>
      </c>
      <c r="E985" s="428">
        <v>3</v>
      </c>
      <c r="F985" s="430">
        <v>4</v>
      </c>
      <c r="G985" s="430">
        <v>6.1</v>
      </c>
      <c r="H985" s="430">
        <v>0.85</v>
      </c>
      <c r="I985" s="430">
        <f t="shared" si="41"/>
        <v>62.22</v>
      </c>
      <c r="J985" s="431"/>
    </row>
    <row r="986" spans="1:10" s="6" customFormat="1">
      <c r="A986" s="427"/>
      <c r="B986" s="427" t="s">
        <v>927</v>
      </c>
      <c r="C986" s="428">
        <v>1</v>
      </c>
      <c r="D986" s="428">
        <v>1</v>
      </c>
      <c r="E986" s="428">
        <v>3</v>
      </c>
      <c r="F986" s="430">
        <v>1.3</v>
      </c>
      <c r="G986" s="430">
        <v>3.7</v>
      </c>
      <c r="H986" s="430">
        <v>0.85</v>
      </c>
      <c r="I986" s="430">
        <f t="shared" si="41"/>
        <v>12.27</v>
      </c>
      <c r="J986" s="431"/>
    </row>
    <row r="987" spans="1:10" s="6" customFormat="1">
      <c r="A987" s="427"/>
      <c r="B987" s="427" t="s">
        <v>907</v>
      </c>
      <c r="C987" s="428">
        <v>1</v>
      </c>
      <c r="D987" s="428">
        <v>1</v>
      </c>
      <c r="E987" s="428">
        <v>3</v>
      </c>
      <c r="F987" s="430">
        <v>1.6</v>
      </c>
      <c r="G987" s="430">
        <v>1.2</v>
      </c>
      <c r="H987" s="430">
        <v>0.85</v>
      </c>
      <c r="I987" s="430">
        <f t="shared" si="41"/>
        <v>4.9000000000000004</v>
      </c>
      <c r="J987" s="431"/>
    </row>
    <row r="988" spans="1:10" s="6" customFormat="1">
      <c r="A988" s="427"/>
      <c r="B988" s="427" t="s">
        <v>928</v>
      </c>
      <c r="C988" s="428">
        <v>1</v>
      </c>
      <c r="D988" s="428">
        <v>1</v>
      </c>
      <c r="E988" s="428">
        <v>1</v>
      </c>
      <c r="F988" s="430">
        <v>4.5199999999999996</v>
      </c>
      <c r="G988" s="430">
        <v>3.82</v>
      </c>
      <c r="H988" s="430">
        <v>0.6</v>
      </c>
      <c r="I988" s="430">
        <f t="shared" si="41"/>
        <v>10.36</v>
      </c>
      <c r="J988" s="431"/>
    </row>
    <row r="989" spans="1:10" s="6" customFormat="1">
      <c r="A989" s="427"/>
      <c r="B989" s="427" t="s">
        <v>929</v>
      </c>
      <c r="C989" s="428"/>
      <c r="D989" s="428"/>
      <c r="E989" s="428"/>
      <c r="F989" s="430"/>
      <c r="G989" s="430"/>
      <c r="H989" s="430"/>
      <c r="I989" s="430"/>
      <c r="J989" s="431"/>
    </row>
    <row r="990" spans="1:10" s="6" customFormat="1">
      <c r="A990" s="427"/>
      <c r="B990" s="432" t="s">
        <v>930</v>
      </c>
      <c r="C990" s="428"/>
      <c r="D990" s="428"/>
      <c r="E990" s="428"/>
      <c r="F990" s="430"/>
      <c r="G990" s="430"/>
      <c r="H990" s="430"/>
      <c r="I990" s="430"/>
      <c r="J990" s="431"/>
    </row>
    <row r="991" spans="1:10" s="6" customFormat="1">
      <c r="A991" s="427"/>
      <c r="B991" s="427" t="s">
        <v>931</v>
      </c>
      <c r="C991" s="428">
        <v>1</v>
      </c>
      <c r="D991" s="428">
        <v>1</v>
      </c>
      <c r="E991" s="428">
        <v>79</v>
      </c>
      <c r="F991" s="430">
        <v>0.3</v>
      </c>
      <c r="G991" s="430">
        <v>0.45</v>
      </c>
      <c r="H991" s="430">
        <v>1.65</v>
      </c>
      <c r="I991" s="430">
        <f t="shared" ref="I991:I997" si="42">PRODUCT(C991:H991)</f>
        <v>17.600000000000001</v>
      </c>
      <c r="J991" s="431"/>
    </row>
    <row r="992" spans="1:10" s="6" customFormat="1">
      <c r="A992" s="427"/>
      <c r="B992" s="427" t="s">
        <v>75</v>
      </c>
      <c r="C992" s="428">
        <v>1</v>
      </c>
      <c r="D992" s="428">
        <v>1</v>
      </c>
      <c r="E992" s="428">
        <v>54</v>
      </c>
      <c r="F992" s="430">
        <v>0.3</v>
      </c>
      <c r="G992" s="430">
        <v>0.6</v>
      </c>
      <c r="H992" s="430">
        <v>1.65</v>
      </c>
      <c r="I992" s="430">
        <f t="shared" si="42"/>
        <v>16.04</v>
      </c>
      <c r="J992" s="431"/>
    </row>
    <row r="993" spans="1:30" s="6" customFormat="1">
      <c r="A993" s="427"/>
      <c r="B993" s="427" t="s">
        <v>76</v>
      </c>
      <c r="C993" s="428">
        <v>1</v>
      </c>
      <c r="D993" s="428">
        <v>1</v>
      </c>
      <c r="E993" s="428">
        <v>3</v>
      </c>
      <c r="F993" s="430">
        <v>0.3</v>
      </c>
      <c r="G993" s="430">
        <v>0.6</v>
      </c>
      <c r="H993" s="430">
        <v>1.65</v>
      </c>
      <c r="I993" s="430">
        <f t="shared" si="42"/>
        <v>0.89</v>
      </c>
      <c r="J993" s="431"/>
    </row>
    <row r="994" spans="1:30" s="6" customFormat="1">
      <c r="A994" s="427"/>
      <c r="B994" s="427" t="s">
        <v>485</v>
      </c>
      <c r="C994" s="428">
        <v>1</v>
      </c>
      <c r="D994" s="428">
        <v>1</v>
      </c>
      <c r="E994" s="428">
        <v>7</v>
      </c>
      <c r="F994" s="430">
        <v>0.3</v>
      </c>
      <c r="G994" s="430">
        <v>0.75</v>
      </c>
      <c r="H994" s="430">
        <v>1.65</v>
      </c>
      <c r="I994" s="430">
        <f t="shared" si="42"/>
        <v>2.6</v>
      </c>
      <c r="J994" s="431"/>
    </row>
    <row r="995" spans="1:30" s="6" customFormat="1">
      <c r="A995" s="427"/>
      <c r="B995" s="427" t="s">
        <v>487</v>
      </c>
      <c r="C995" s="428">
        <v>1</v>
      </c>
      <c r="D995" s="428">
        <v>1</v>
      </c>
      <c r="E995" s="428">
        <v>1</v>
      </c>
      <c r="F995" s="430">
        <v>0.38</v>
      </c>
      <c r="G995" s="430">
        <v>0.75</v>
      </c>
      <c r="H995" s="430">
        <v>1.65</v>
      </c>
      <c r="I995" s="430">
        <f t="shared" si="42"/>
        <v>0.47</v>
      </c>
      <c r="J995" s="431"/>
    </row>
    <row r="996" spans="1:30" s="6" customFormat="1">
      <c r="A996" s="427"/>
      <c r="B996" s="427" t="s">
        <v>932</v>
      </c>
      <c r="C996" s="428">
        <v>1</v>
      </c>
      <c r="D996" s="428">
        <v>1</v>
      </c>
      <c r="E996" s="428">
        <v>2</v>
      </c>
      <c r="F996" s="430">
        <v>9.92</v>
      </c>
      <c r="G996" s="430">
        <v>0.23</v>
      </c>
      <c r="H996" s="430">
        <v>1.65</v>
      </c>
      <c r="I996" s="430">
        <f t="shared" si="42"/>
        <v>7.53</v>
      </c>
      <c r="J996" s="431"/>
    </row>
    <row r="997" spans="1:30" s="6" customFormat="1">
      <c r="A997" s="427"/>
      <c r="B997" s="427" t="s">
        <v>933</v>
      </c>
      <c r="C997" s="428">
        <v>1</v>
      </c>
      <c r="D997" s="428">
        <v>1</v>
      </c>
      <c r="E997" s="428">
        <v>1</v>
      </c>
      <c r="F997" s="430">
        <v>11.52</v>
      </c>
      <c r="G997" s="430">
        <v>0.23</v>
      </c>
      <c r="H997" s="430">
        <v>1.65</v>
      </c>
      <c r="I997" s="430">
        <f t="shared" si="42"/>
        <v>4.37</v>
      </c>
      <c r="J997" s="431"/>
    </row>
    <row r="998" spans="1:30" s="163" customFormat="1" ht="23.25" customHeight="1">
      <c r="A998" s="278"/>
      <c r="B998" s="480"/>
      <c r="C998" s="481"/>
      <c r="D998" s="294"/>
      <c r="E998" s="369"/>
      <c r="F998" s="295"/>
      <c r="G998" s="599" t="s">
        <v>60</v>
      </c>
      <c r="H998" s="600"/>
      <c r="I998" s="416">
        <f>SUM(I949:I997)</f>
        <v>891.98</v>
      </c>
      <c r="J998" s="343"/>
      <c r="K998" s="161"/>
      <c r="L998" s="161"/>
      <c r="M998" s="161"/>
      <c r="N998" s="162"/>
      <c r="O998" s="162"/>
      <c r="P998" s="162"/>
      <c r="Q998" s="162"/>
      <c r="R998" s="162"/>
      <c r="S998" s="162"/>
      <c r="T998" s="162"/>
      <c r="U998" s="162"/>
      <c r="V998" s="162"/>
      <c r="W998" s="162"/>
      <c r="X998" s="162"/>
      <c r="Y998" s="162"/>
      <c r="Z998" s="162"/>
      <c r="AA998" s="162"/>
      <c r="AB998" s="162"/>
      <c r="AC998" s="162"/>
      <c r="AD998" s="162"/>
    </row>
    <row r="999" spans="1:30" s="163" customFormat="1" ht="23.25" customHeight="1">
      <c r="A999" s="278"/>
      <c r="B999" s="480"/>
      <c r="C999" s="481"/>
      <c r="D999" s="294"/>
      <c r="E999" s="369"/>
      <c r="F999" s="295"/>
      <c r="G999" s="599" t="s">
        <v>55</v>
      </c>
      <c r="H999" s="600"/>
      <c r="I999" s="416">
        <f>ROUNDUP(I998,0)</f>
        <v>892</v>
      </c>
      <c r="J999" s="343" t="s">
        <v>37</v>
      </c>
      <c r="K999" s="161"/>
      <c r="L999" s="161"/>
      <c r="M999" s="161"/>
      <c r="N999" s="162"/>
      <c r="O999" s="162"/>
      <c r="P999" s="162"/>
      <c r="Q999" s="162"/>
      <c r="R999" s="162"/>
      <c r="S999" s="162"/>
      <c r="T999" s="162"/>
      <c r="U999" s="162"/>
      <c r="V999" s="162"/>
      <c r="W999" s="162"/>
      <c r="X999" s="162"/>
      <c r="Y999" s="162"/>
      <c r="Z999" s="162"/>
      <c r="AA999" s="162"/>
      <c r="AB999" s="162"/>
      <c r="AC999" s="162"/>
      <c r="AD999" s="162"/>
    </row>
    <row r="1000" spans="1:30" s="134" customFormat="1" ht="34.5" customHeight="1">
      <c r="A1000" s="288" t="s">
        <v>16</v>
      </c>
      <c r="B1000" s="286" t="s">
        <v>699</v>
      </c>
      <c r="C1000" s="280"/>
      <c r="D1000" s="280"/>
      <c r="E1000" s="280"/>
      <c r="F1000" s="282"/>
      <c r="G1000" s="282"/>
      <c r="H1000" s="282"/>
      <c r="I1000" s="283"/>
      <c r="J1000" s="278"/>
      <c r="K1000" s="46"/>
      <c r="L1000" s="46"/>
      <c r="M1000" s="46"/>
    </row>
    <row r="1001" spans="1:30" s="134" customFormat="1" ht="25.5" customHeight="1">
      <c r="A1001" s="288"/>
      <c r="B1001" s="286" t="s">
        <v>696</v>
      </c>
      <c r="C1001" s="280"/>
      <c r="D1001" s="280"/>
      <c r="E1001" s="280"/>
      <c r="F1001" s="282"/>
      <c r="G1001" s="282"/>
      <c r="H1001" s="282"/>
      <c r="I1001" s="283"/>
      <c r="J1001" s="278"/>
      <c r="K1001" s="46"/>
      <c r="L1001" s="46"/>
      <c r="M1001" s="46"/>
    </row>
    <row r="1002" spans="1:30" s="134" customFormat="1" ht="23.25" customHeight="1">
      <c r="A1002" s="288"/>
      <c r="B1002" s="279" t="s">
        <v>695</v>
      </c>
      <c r="C1002" s="280">
        <v>1</v>
      </c>
      <c r="D1002" s="280">
        <v>2</v>
      </c>
      <c r="E1002" s="280">
        <v>5</v>
      </c>
      <c r="F1002" s="282">
        <v>1</v>
      </c>
      <c r="G1002" s="282">
        <v>0.45</v>
      </c>
      <c r="H1002" s="282"/>
      <c r="I1002" s="283">
        <f>PRODUCT(C1002:H1002)</f>
        <v>4.5</v>
      </c>
      <c r="J1002" s="278"/>
      <c r="K1002" s="46"/>
      <c r="L1002" s="46"/>
      <c r="M1002" s="46"/>
    </row>
    <row r="1003" spans="1:30" s="134" customFormat="1" ht="23.25" customHeight="1">
      <c r="A1003" s="288"/>
      <c r="B1003" s="286"/>
      <c r="C1003" s="280"/>
      <c r="D1003" s="280"/>
      <c r="E1003" s="280"/>
      <c r="F1003" s="282"/>
      <c r="G1003" s="597" t="s">
        <v>41</v>
      </c>
      <c r="H1003" s="598"/>
      <c r="I1003" s="283">
        <f>I1002</f>
        <v>4.5</v>
      </c>
      <c r="J1003" s="278"/>
      <c r="K1003" s="46"/>
      <c r="L1003" s="46"/>
      <c r="M1003" s="46"/>
    </row>
    <row r="1004" spans="1:30" s="134" customFormat="1" ht="23.25" customHeight="1">
      <c r="A1004" s="288"/>
      <c r="B1004" s="286"/>
      <c r="C1004" s="280"/>
      <c r="D1004" s="280"/>
      <c r="E1004" s="280"/>
      <c r="F1004" s="282"/>
      <c r="G1004" s="589" t="s">
        <v>54</v>
      </c>
      <c r="H1004" s="590"/>
      <c r="I1004" s="416">
        <f>ROUNDUP(I1003,1)</f>
        <v>4.5</v>
      </c>
      <c r="J1004" s="288" t="s">
        <v>42</v>
      </c>
      <c r="K1004" s="47"/>
      <c r="L1004" s="47"/>
      <c r="M1004" s="47"/>
    </row>
    <row r="1005" spans="1:30" s="134" customFormat="1" ht="23.25" customHeight="1">
      <c r="A1005" s="278"/>
      <c r="B1005" s="286" t="s">
        <v>698</v>
      </c>
      <c r="C1005" s="278"/>
      <c r="D1005" s="280"/>
      <c r="E1005" s="278"/>
      <c r="F1005" s="282"/>
      <c r="G1005" s="282"/>
      <c r="H1005" s="282"/>
      <c r="I1005" s="283"/>
      <c r="J1005" s="278"/>
      <c r="K1005" s="46"/>
      <c r="L1005" s="46"/>
      <c r="M1005" s="46"/>
    </row>
    <row r="1006" spans="1:30" s="132" customFormat="1" ht="18" customHeight="1">
      <c r="A1006" s="307"/>
      <c r="B1006" s="319" t="s">
        <v>89</v>
      </c>
      <c r="C1006" s="321"/>
      <c r="D1006" s="307"/>
      <c r="E1006" s="307"/>
      <c r="F1006" s="308"/>
      <c r="G1006" s="308"/>
      <c r="H1006" s="308"/>
      <c r="I1006" s="323"/>
      <c r="J1006" s="307"/>
      <c r="K1006" s="94"/>
      <c r="L1006" s="94"/>
      <c r="M1006" s="94"/>
      <c r="N1006" s="94"/>
      <c r="O1006" s="94"/>
      <c r="P1006" s="94"/>
      <c r="Q1006" s="94"/>
      <c r="R1006" s="94"/>
      <c r="S1006" s="94"/>
      <c r="T1006" s="94"/>
      <c r="U1006" s="94"/>
      <c r="V1006" s="94"/>
      <c r="W1006" s="94"/>
      <c r="X1006" s="94"/>
      <c r="Y1006" s="94"/>
      <c r="Z1006" s="94"/>
      <c r="AA1006" s="94"/>
      <c r="AB1006" s="94"/>
      <c r="AC1006" s="94"/>
      <c r="AD1006" s="94"/>
    </row>
    <row r="1007" spans="1:30" s="132" customFormat="1" ht="18" customHeight="1">
      <c r="A1007" s="307"/>
      <c r="B1007" s="293" t="s">
        <v>671</v>
      </c>
      <c r="C1007" s="307">
        <v>10</v>
      </c>
      <c r="D1007" s="307">
        <v>1</v>
      </c>
      <c r="E1007" s="307">
        <v>1</v>
      </c>
      <c r="F1007" s="308">
        <v>1.25</v>
      </c>
      <c r="G1007" s="308">
        <v>0.3</v>
      </c>
      <c r="H1007" s="308"/>
      <c r="I1007" s="323">
        <f>PRODUCT(C1007:H1007)</f>
        <v>3.75</v>
      </c>
      <c r="J1007" s="307"/>
      <c r="K1007" s="94"/>
      <c r="L1007" s="94"/>
      <c r="M1007" s="94"/>
      <c r="N1007" s="94"/>
      <c r="O1007" s="94"/>
      <c r="P1007" s="94"/>
      <c r="Q1007" s="94"/>
      <c r="R1007" s="94"/>
      <c r="S1007" s="94"/>
      <c r="T1007" s="94"/>
      <c r="U1007" s="94"/>
      <c r="V1007" s="94"/>
      <c r="W1007" s="94"/>
      <c r="X1007" s="94"/>
      <c r="Y1007" s="94"/>
      <c r="Z1007" s="94"/>
      <c r="AA1007" s="94"/>
      <c r="AB1007" s="94"/>
      <c r="AC1007" s="94"/>
      <c r="AD1007" s="94"/>
    </row>
    <row r="1008" spans="1:30" s="132" customFormat="1" ht="18" customHeight="1">
      <c r="A1008" s="307"/>
      <c r="B1008" s="293" t="s">
        <v>667</v>
      </c>
      <c r="C1008" s="307">
        <v>10</v>
      </c>
      <c r="D1008" s="307">
        <v>1</v>
      </c>
      <c r="E1008" s="307">
        <v>4</v>
      </c>
      <c r="F1008" s="308">
        <v>0.9</v>
      </c>
      <c r="G1008" s="308">
        <v>0.3</v>
      </c>
      <c r="H1008" s="308"/>
      <c r="I1008" s="323">
        <f>PRODUCT(C1008:H1008)</f>
        <v>10.8</v>
      </c>
      <c r="J1008" s="307"/>
      <c r="K1008" s="94"/>
      <c r="L1008" s="94"/>
      <c r="M1008" s="94"/>
      <c r="N1008" s="94"/>
      <c r="O1008" s="94"/>
      <c r="P1008" s="94"/>
      <c r="Q1008" s="94"/>
      <c r="R1008" s="94"/>
      <c r="S1008" s="94"/>
      <c r="T1008" s="94"/>
      <c r="U1008" s="94"/>
      <c r="V1008" s="94"/>
      <c r="W1008" s="94"/>
      <c r="X1008" s="94"/>
      <c r="Y1008" s="94"/>
      <c r="Z1008" s="94"/>
      <c r="AA1008" s="94"/>
      <c r="AB1008" s="94"/>
      <c r="AC1008" s="94"/>
      <c r="AD1008" s="94"/>
    </row>
    <row r="1009" spans="1:30" s="132" customFormat="1" ht="18" customHeight="1">
      <c r="A1009" s="307"/>
      <c r="B1009" s="319" t="s">
        <v>670</v>
      </c>
      <c r="C1009" s="307"/>
      <c r="D1009" s="307"/>
      <c r="E1009" s="307"/>
      <c r="F1009" s="308"/>
      <c r="G1009" s="308"/>
      <c r="H1009" s="308"/>
      <c r="I1009" s="323"/>
      <c r="J1009" s="307"/>
      <c r="K1009" s="94"/>
      <c r="L1009" s="94"/>
      <c r="M1009" s="94"/>
      <c r="N1009" s="94"/>
      <c r="O1009" s="94"/>
      <c r="P1009" s="94"/>
      <c r="Q1009" s="94"/>
      <c r="R1009" s="94"/>
      <c r="S1009" s="94"/>
      <c r="T1009" s="94"/>
      <c r="U1009" s="94"/>
      <c r="V1009" s="94"/>
      <c r="W1009" s="94"/>
      <c r="X1009" s="94"/>
      <c r="Y1009" s="94"/>
      <c r="Z1009" s="94"/>
      <c r="AA1009" s="94"/>
      <c r="AB1009" s="94"/>
      <c r="AC1009" s="94"/>
      <c r="AD1009" s="94"/>
    </row>
    <row r="1010" spans="1:30" s="132" customFormat="1" ht="18" customHeight="1">
      <c r="A1010" s="307"/>
      <c r="B1010" s="293" t="s">
        <v>668</v>
      </c>
      <c r="C1010" s="307">
        <v>10</v>
      </c>
      <c r="D1010" s="307">
        <v>1</v>
      </c>
      <c r="E1010" s="307">
        <v>2</v>
      </c>
      <c r="F1010" s="308">
        <v>1.25</v>
      </c>
      <c r="G1010" s="308">
        <v>0.6</v>
      </c>
      <c r="H1010" s="308"/>
      <c r="I1010" s="323">
        <f>PRODUCT(C1010:H1010)</f>
        <v>15</v>
      </c>
      <c r="J1010" s="307"/>
      <c r="K1010" s="94"/>
      <c r="L1010" s="94"/>
      <c r="M1010" s="94"/>
      <c r="N1010" s="94"/>
      <c r="O1010" s="94"/>
      <c r="P1010" s="94"/>
      <c r="Q1010" s="94"/>
      <c r="R1010" s="94"/>
      <c r="S1010" s="94"/>
      <c r="T1010" s="94"/>
      <c r="U1010" s="94"/>
      <c r="V1010" s="94"/>
      <c r="W1010" s="94"/>
      <c r="X1010" s="94"/>
      <c r="Y1010" s="94"/>
      <c r="Z1010" s="94"/>
      <c r="AA1010" s="94"/>
      <c r="AB1010" s="94"/>
      <c r="AC1010" s="94"/>
      <c r="AD1010" s="94"/>
    </row>
    <row r="1011" spans="1:30" s="132" customFormat="1" ht="18" customHeight="1">
      <c r="A1011" s="307"/>
      <c r="B1011" s="293" t="s">
        <v>667</v>
      </c>
      <c r="C1011" s="307">
        <v>10</v>
      </c>
      <c r="D1011" s="307">
        <v>1</v>
      </c>
      <c r="E1011" s="307">
        <v>4</v>
      </c>
      <c r="F1011" s="308">
        <v>0.9</v>
      </c>
      <c r="G1011" s="308">
        <v>0.45</v>
      </c>
      <c r="H1011" s="308"/>
      <c r="I1011" s="323">
        <f>PRODUCT(C1011:H1011)</f>
        <v>16.2</v>
      </c>
      <c r="J1011" s="307"/>
      <c r="K1011" s="94"/>
      <c r="L1011" s="94"/>
      <c r="M1011" s="94"/>
      <c r="N1011" s="94"/>
      <c r="O1011" s="94"/>
      <c r="P1011" s="94"/>
      <c r="Q1011" s="94"/>
      <c r="R1011" s="94"/>
      <c r="S1011" s="94"/>
      <c r="T1011" s="94"/>
      <c r="U1011" s="94"/>
      <c r="V1011" s="94"/>
      <c r="W1011" s="94"/>
      <c r="X1011" s="94"/>
      <c r="Y1011" s="94"/>
      <c r="Z1011" s="94"/>
      <c r="AA1011" s="94"/>
      <c r="AB1011" s="94"/>
      <c r="AC1011" s="94"/>
      <c r="AD1011" s="94"/>
    </row>
    <row r="1012" spans="1:30" s="132" customFormat="1" ht="18" customHeight="1">
      <c r="A1012" s="307"/>
      <c r="B1012" s="319" t="s">
        <v>669</v>
      </c>
      <c r="C1012" s="307"/>
      <c r="D1012" s="307"/>
      <c r="E1012" s="307"/>
      <c r="F1012" s="308"/>
      <c r="G1012" s="308"/>
      <c r="H1012" s="308"/>
      <c r="I1012" s="323"/>
      <c r="J1012" s="307"/>
      <c r="K1012" s="94"/>
      <c r="L1012" s="94"/>
      <c r="M1012" s="94"/>
      <c r="N1012" s="94"/>
      <c r="O1012" s="94"/>
      <c r="P1012" s="94"/>
      <c r="Q1012" s="94"/>
      <c r="R1012" s="94"/>
      <c r="S1012" s="94"/>
      <c r="T1012" s="94"/>
      <c r="U1012" s="94"/>
      <c r="V1012" s="94"/>
      <c r="W1012" s="94"/>
      <c r="X1012" s="94"/>
      <c r="Y1012" s="94"/>
      <c r="Z1012" s="94"/>
      <c r="AA1012" s="94"/>
      <c r="AB1012" s="94"/>
      <c r="AC1012" s="94"/>
      <c r="AD1012" s="94"/>
    </row>
    <row r="1013" spans="1:30" s="132" customFormat="1" ht="18" customHeight="1">
      <c r="A1013" s="307"/>
      <c r="B1013" s="293" t="s">
        <v>668</v>
      </c>
      <c r="C1013" s="307">
        <v>10</v>
      </c>
      <c r="D1013" s="307">
        <v>1</v>
      </c>
      <c r="E1013" s="307">
        <v>2</v>
      </c>
      <c r="F1013" s="308">
        <v>1.25</v>
      </c>
      <c r="G1013" s="308">
        <v>0.6</v>
      </c>
      <c r="H1013" s="308"/>
      <c r="I1013" s="323">
        <f>PRODUCT(C1013:H1013)</f>
        <v>15</v>
      </c>
      <c r="J1013" s="307"/>
      <c r="K1013" s="94"/>
      <c r="L1013" s="94"/>
      <c r="M1013" s="94"/>
      <c r="N1013" s="94"/>
      <c r="O1013" s="94"/>
      <c r="P1013" s="94"/>
      <c r="Q1013" s="94"/>
      <c r="R1013" s="94"/>
      <c r="S1013" s="94"/>
      <c r="T1013" s="94"/>
      <c r="U1013" s="94"/>
      <c r="V1013" s="94"/>
      <c r="W1013" s="94"/>
      <c r="X1013" s="94"/>
      <c r="Y1013" s="94"/>
      <c r="Z1013" s="94"/>
      <c r="AA1013" s="94"/>
      <c r="AB1013" s="94"/>
      <c r="AC1013" s="94"/>
      <c r="AD1013" s="94"/>
    </row>
    <row r="1014" spans="1:30" s="132" customFormat="1" ht="18" customHeight="1">
      <c r="A1014" s="307"/>
      <c r="B1014" s="293" t="s">
        <v>667</v>
      </c>
      <c r="C1014" s="307">
        <v>10</v>
      </c>
      <c r="D1014" s="307">
        <v>1</v>
      </c>
      <c r="E1014" s="307">
        <v>4</v>
      </c>
      <c r="F1014" s="317">
        <v>0.77500000000000002</v>
      </c>
      <c r="G1014" s="308">
        <v>0.45</v>
      </c>
      <c r="H1014" s="308"/>
      <c r="I1014" s="323">
        <f>PRODUCT(C1014:H1014)</f>
        <v>13.95</v>
      </c>
      <c r="J1014" s="307"/>
      <c r="K1014" s="94"/>
      <c r="L1014" s="94"/>
      <c r="M1014" s="94"/>
      <c r="N1014" s="94"/>
      <c r="O1014" s="94"/>
      <c r="P1014" s="94"/>
      <c r="Q1014" s="94"/>
      <c r="R1014" s="94"/>
      <c r="S1014" s="94"/>
      <c r="T1014" s="94"/>
      <c r="U1014" s="94"/>
      <c r="V1014" s="94"/>
      <c r="W1014" s="94"/>
      <c r="X1014" s="94"/>
      <c r="Y1014" s="94"/>
      <c r="Z1014" s="94"/>
      <c r="AA1014" s="94"/>
      <c r="AB1014" s="94"/>
      <c r="AC1014" s="94"/>
      <c r="AD1014" s="94"/>
    </row>
    <row r="1015" spans="1:30" s="132" customFormat="1" ht="18" customHeight="1">
      <c r="A1015" s="307"/>
      <c r="B1015" s="319" t="s">
        <v>88</v>
      </c>
      <c r="C1015" s="307"/>
      <c r="D1015" s="307"/>
      <c r="E1015" s="307"/>
      <c r="F1015" s="308"/>
      <c r="G1015" s="308"/>
      <c r="H1015" s="308"/>
      <c r="I1015" s="323">
        <f>PRODUCT(C1015:H1015)</f>
        <v>0</v>
      </c>
      <c r="J1015" s="307"/>
      <c r="K1015" s="94"/>
      <c r="L1015" s="94"/>
      <c r="M1015" s="94"/>
      <c r="N1015" s="94"/>
      <c r="O1015" s="94"/>
      <c r="P1015" s="94"/>
      <c r="Q1015" s="94"/>
      <c r="R1015" s="94"/>
      <c r="S1015" s="94"/>
      <c r="T1015" s="94"/>
      <c r="U1015" s="94"/>
      <c r="V1015" s="94"/>
      <c r="W1015" s="94"/>
      <c r="X1015" s="94"/>
      <c r="Y1015" s="94"/>
      <c r="Z1015" s="94"/>
      <c r="AA1015" s="94"/>
      <c r="AB1015" s="94"/>
      <c r="AC1015" s="94"/>
      <c r="AD1015" s="94"/>
    </row>
    <row r="1016" spans="1:30" s="132" customFormat="1" ht="18" customHeight="1">
      <c r="A1016" s="307"/>
      <c r="B1016" s="293" t="s">
        <v>667</v>
      </c>
      <c r="C1016" s="307">
        <v>10</v>
      </c>
      <c r="D1016" s="307">
        <v>2</v>
      </c>
      <c r="E1016" s="307">
        <v>4</v>
      </c>
      <c r="F1016" s="308">
        <v>0.89</v>
      </c>
      <c r="G1016" s="308">
        <v>0.45</v>
      </c>
      <c r="H1016" s="308"/>
      <c r="I1016" s="323">
        <f>PRODUCT(C1016:H1016)</f>
        <v>32.04</v>
      </c>
      <c r="J1016" s="307"/>
      <c r="K1016" s="94"/>
      <c r="L1016" s="94"/>
      <c r="M1016" s="94"/>
      <c r="N1016" s="94">
        <f>2.46-0.6</f>
        <v>1.86</v>
      </c>
      <c r="O1016" s="94">
        <f>N1016/2</f>
        <v>0.93</v>
      </c>
      <c r="P1016" s="94">
        <f>0.075/2</f>
        <v>3.7499999999999999E-2</v>
      </c>
      <c r="Q1016" s="94"/>
      <c r="R1016" s="94"/>
      <c r="S1016" s="94"/>
      <c r="T1016" s="94"/>
      <c r="U1016" s="94"/>
      <c r="V1016" s="94"/>
      <c r="W1016" s="94"/>
      <c r="X1016" s="94"/>
      <c r="Y1016" s="94"/>
      <c r="Z1016" s="94"/>
      <c r="AA1016" s="94"/>
      <c r="AB1016" s="94"/>
      <c r="AC1016" s="94"/>
      <c r="AD1016" s="94"/>
    </row>
    <row r="1017" spans="1:30" s="132" customFormat="1" ht="18" customHeight="1">
      <c r="A1017" s="307"/>
      <c r="B1017" s="319" t="s">
        <v>666</v>
      </c>
      <c r="C1017" s="307"/>
      <c r="D1017" s="307"/>
      <c r="E1017" s="307"/>
      <c r="F1017" s="308"/>
      <c r="G1017" s="308"/>
      <c r="H1017" s="308"/>
      <c r="I1017" s="323"/>
      <c r="J1017" s="307"/>
      <c r="K1017" s="94"/>
      <c r="L1017" s="94"/>
      <c r="M1017" s="94"/>
      <c r="N1017" s="94"/>
      <c r="O1017" s="94"/>
      <c r="P1017" s="94">
        <f>O1016-P1016</f>
        <v>0.89249999999999996</v>
      </c>
      <c r="Q1017" s="94"/>
      <c r="R1017" s="94"/>
      <c r="S1017" s="94"/>
      <c r="T1017" s="94"/>
      <c r="U1017" s="94"/>
      <c r="V1017" s="94"/>
      <c r="W1017" s="94"/>
      <c r="X1017" s="94"/>
      <c r="Y1017" s="94"/>
      <c r="Z1017" s="94"/>
      <c r="AA1017" s="94"/>
      <c r="AB1017" s="94"/>
      <c r="AC1017" s="94"/>
      <c r="AD1017" s="94"/>
    </row>
    <row r="1018" spans="1:30" s="132" customFormat="1" ht="18" customHeight="1">
      <c r="A1018" s="307"/>
      <c r="B1018" s="293" t="s">
        <v>665</v>
      </c>
      <c r="C1018" s="307">
        <v>10</v>
      </c>
      <c r="D1018" s="307">
        <v>1</v>
      </c>
      <c r="E1018" s="307">
        <v>3</v>
      </c>
      <c r="F1018" s="308">
        <v>0.95</v>
      </c>
      <c r="G1018" s="308">
        <v>0.3</v>
      </c>
      <c r="H1018" s="308"/>
      <c r="I1018" s="323">
        <f>PRODUCT(C1018:H1018)</f>
        <v>8.5500000000000007</v>
      </c>
      <c r="J1018" s="307"/>
      <c r="K1018" s="94"/>
      <c r="L1018" s="94"/>
      <c r="M1018" s="94"/>
      <c r="N1018" s="94"/>
      <c r="O1018" s="94"/>
      <c r="P1018" s="94"/>
      <c r="Q1018" s="94"/>
      <c r="R1018" s="94"/>
      <c r="S1018" s="94"/>
      <c r="T1018" s="94"/>
      <c r="U1018" s="94"/>
      <c r="V1018" s="94"/>
      <c r="W1018" s="94"/>
      <c r="X1018" s="94"/>
      <c r="Y1018" s="94"/>
      <c r="Z1018" s="94"/>
      <c r="AA1018" s="94"/>
      <c r="AB1018" s="94"/>
      <c r="AC1018" s="94"/>
      <c r="AD1018" s="94"/>
    </row>
    <row r="1019" spans="1:30" s="134" customFormat="1" ht="22.5" customHeight="1">
      <c r="A1019" s="278"/>
      <c r="B1019" s="279"/>
      <c r="C1019" s="280"/>
      <c r="D1019" s="307"/>
      <c r="E1019" s="280"/>
      <c r="F1019" s="282"/>
      <c r="G1019" s="282"/>
      <c r="H1019" s="282"/>
      <c r="I1019" s="416">
        <f>SUM(I1006:I1018)</f>
        <v>115.29</v>
      </c>
      <c r="J1019" s="340" t="s">
        <v>4</v>
      </c>
      <c r="K1019" s="39"/>
      <c r="L1019" s="39"/>
      <c r="M1019" s="39"/>
    </row>
    <row r="1020" spans="1:30" s="135" customFormat="1" ht="21.75" customHeight="1">
      <c r="A1020" s="473"/>
      <c r="B1020" s="485"/>
      <c r="C1020" s="475"/>
      <c r="D1020" s="472"/>
      <c r="E1020" s="475"/>
      <c r="F1020" s="476"/>
      <c r="G1020" s="476"/>
      <c r="H1020" s="415" t="s">
        <v>55</v>
      </c>
      <c r="I1020" s="416">
        <f>ROUNDUP(I1019,1)</f>
        <v>115.3</v>
      </c>
      <c r="J1020" s="343" t="s">
        <v>4</v>
      </c>
      <c r="K1020" s="44"/>
      <c r="L1020" s="44"/>
      <c r="M1020" s="44"/>
    </row>
    <row r="1021" spans="1:30" s="91" customFormat="1" ht="23.25" customHeight="1">
      <c r="A1021" s="278"/>
      <c r="B1021" s="286" t="s">
        <v>296</v>
      </c>
      <c r="C1021" s="280"/>
      <c r="D1021" s="307"/>
      <c r="E1021" s="280"/>
      <c r="F1021" s="282"/>
      <c r="G1021" s="282"/>
      <c r="H1021" s="282"/>
      <c r="I1021" s="416"/>
      <c r="J1021" s="278"/>
      <c r="K1021" s="46"/>
      <c r="L1021" s="46"/>
      <c r="M1021" s="46"/>
    </row>
    <row r="1022" spans="1:30" s="91" customFormat="1" ht="23.25" customHeight="1">
      <c r="A1022" s="278"/>
      <c r="B1022" s="286" t="s">
        <v>283</v>
      </c>
      <c r="C1022" s="280"/>
      <c r="D1022" s="307"/>
      <c r="E1022" s="280"/>
      <c r="F1022" s="282"/>
      <c r="G1022" s="282"/>
      <c r="H1022" s="282"/>
      <c r="I1022" s="416">
        <f>I1020</f>
        <v>115.3</v>
      </c>
      <c r="J1022" s="343" t="s">
        <v>4</v>
      </c>
      <c r="K1022" s="44"/>
      <c r="L1022" s="44"/>
      <c r="M1022" s="44"/>
    </row>
    <row r="1023" spans="1:30" s="91" customFormat="1" ht="23.25" customHeight="1">
      <c r="A1023" s="278"/>
      <c r="B1023" s="286" t="s">
        <v>295</v>
      </c>
      <c r="C1023" s="280"/>
      <c r="D1023" s="307"/>
      <c r="E1023" s="280"/>
      <c r="F1023" s="282"/>
      <c r="G1023" s="282"/>
      <c r="H1023" s="282"/>
      <c r="I1023" s="416"/>
      <c r="J1023" s="278"/>
      <c r="K1023" s="46"/>
      <c r="L1023" s="46"/>
      <c r="M1023" s="46"/>
    </row>
    <row r="1024" spans="1:30" s="91" customFormat="1" ht="23.25" customHeight="1">
      <c r="A1024" s="278"/>
      <c r="B1024" s="286" t="s">
        <v>283</v>
      </c>
      <c r="C1024" s="280"/>
      <c r="D1024" s="280"/>
      <c r="E1024" s="280"/>
      <c r="F1024" s="282"/>
      <c r="G1024" s="282"/>
      <c r="H1024" s="282"/>
      <c r="I1024" s="416">
        <f>I1022</f>
        <v>115.3</v>
      </c>
      <c r="J1024" s="343" t="s">
        <v>4</v>
      </c>
      <c r="K1024" s="44"/>
      <c r="L1024" s="44"/>
      <c r="M1024" s="44"/>
    </row>
    <row r="1025" spans="1:13" s="91" customFormat="1" ht="23.25" customHeight="1">
      <c r="A1025" s="278"/>
      <c r="B1025" s="286" t="s">
        <v>294</v>
      </c>
      <c r="C1025" s="280"/>
      <c r="D1025" s="280"/>
      <c r="E1025" s="280"/>
      <c r="F1025" s="282"/>
      <c r="G1025" s="282"/>
      <c r="H1025" s="282"/>
      <c r="I1025" s="416"/>
      <c r="J1025" s="278"/>
      <c r="K1025" s="46"/>
      <c r="L1025" s="46"/>
      <c r="M1025" s="46"/>
    </row>
    <row r="1026" spans="1:13" s="91" customFormat="1" ht="23.25" customHeight="1">
      <c r="A1026" s="278"/>
      <c r="B1026" s="286" t="s">
        <v>283</v>
      </c>
      <c r="C1026" s="280"/>
      <c r="D1026" s="280"/>
      <c r="E1026" s="280"/>
      <c r="F1026" s="282"/>
      <c r="G1026" s="282"/>
      <c r="H1026" s="282"/>
      <c r="I1026" s="416">
        <f>I1024</f>
        <v>115.3</v>
      </c>
      <c r="J1026" s="343" t="s">
        <v>4</v>
      </c>
      <c r="K1026" s="44"/>
      <c r="L1026" s="44"/>
      <c r="M1026" s="44"/>
    </row>
    <row r="1027" spans="1:13" s="91" customFormat="1" ht="23.25" customHeight="1">
      <c r="A1027" s="278"/>
      <c r="B1027" s="286" t="s">
        <v>293</v>
      </c>
      <c r="C1027" s="280"/>
      <c r="D1027" s="280"/>
      <c r="E1027" s="280"/>
      <c r="F1027" s="282"/>
      <c r="G1027" s="282"/>
      <c r="H1027" s="282"/>
      <c r="I1027" s="416"/>
      <c r="J1027" s="278"/>
      <c r="K1027" s="46"/>
      <c r="L1027" s="46"/>
      <c r="M1027" s="46"/>
    </row>
    <row r="1028" spans="1:13" s="91" customFormat="1" ht="23.25" customHeight="1">
      <c r="A1028" s="278"/>
      <c r="B1028" s="286" t="s">
        <v>283</v>
      </c>
      <c r="C1028" s="280"/>
      <c r="D1028" s="280"/>
      <c r="E1028" s="280"/>
      <c r="F1028" s="282"/>
      <c r="G1028" s="282"/>
      <c r="H1028" s="282"/>
      <c r="I1028" s="416">
        <f>I1026</f>
        <v>115.3</v>
      </c>
      <c r="J1028" s="343" t="s">
        <v>4</v>
      </c>
      <c r="K1028" s="44"/>
      <c r="L1028" s="44"/>
      <c r="M1028" s="44"/>
    </row>
    <row r="1029" spans="1:13" s="91" customFormat="1" ht="23.25" customHeight="1">
      <c r="A1029" s="278"/>
      <c r="B1029" s="286" t="s">
        <v>292</v>
      </c>
      <c r="C1029" s="280"/>
      <c r="D1029" s="280"/>
      <c r="E1029" s="280"/>
      <c r="F1029" s="282"/>
      <c r="G1029" s="282"/>
      <c r="H1029" s="282"/>
      <c r="I1029" s="416"/>
      <c r="J1029" s="278"/>
      <c r="K1029" s="46"/>
      <c r="L1029" s="46"/>
      <c r="M1029" s="46"/>
    </row>
    <row r="1030" spans="1:13" s="91" customFormat="1" ht="23.25" customHeight="1">
      <c r="A1030" s="278"/>
      <c r="B1030" s="286" t="s">
        <v>283</v>
      </c>
      <c r="C1030" s="280"/>
      <c r="D1030" s="280"/>
      <c r="E1030" s="280"/>
      <c r="F1030" s="282"/>
      <c r="G1030" s="282"/>
      <c r="H1030" s="282"/>
      <c r="I1030" s="416">
        <f>I1028</f>
        <v>115.3</v>
      </c>
      <c r="J1030" s="343" t="s">
        <v>4</v>
      </c>
      <c r="K1030" s="44"/>
      <c r="L1030" s="44"/>
      <c r="M1030" s="44"/>
    </row>
    <row r="1031" spans="1:13" s="91" customFormat="1" ht="23.25" customHeight="1">
      <c r="A1031" s="278"/>
      <c r="B1031" s="286" t="s">
        <v>291</v>
      </c>
      <c r="C1031" s="280"/>
      <c r="D1031" s="280"/>
      <c r="E1031" s="280"/>
      <c r="F1031" s="282"/>
      <c r="G1031" s="282"/>
      <c r="H1031" s="282"/>
      <c r="I1031" s="416"/>
      <c r="J1031" s="278"/>
      <c r="K1031" s="46"/>
      <c r="L1031" s="46"/>
      <c r="M1031" s="46"/>
    </row>
    <row r="1032" spans="1:13" s="91" customFormat="1" ht="23.25" customHeight="1">
      <c r="A1032" s="278"/>
      <c r="B1032" s="286" t="s">
        <v>283</v>
      </c>
      <c r="C1032" s="280"/>
      <c r="D1032" s="280"/>
      <c r="E1032" s="280"/>
      <c r="F1032" s="282"/>
      <c r="G1032" s="282"/>
      <c r="H1032" s="282"/>
      <c r="I1032" s="416">
        <f>I1030</f>
        <v>115.3</v>
      </c>
      <c r="J1032" s="343" t="s">
        <v>4</v>
      </c>
      <c r="K1032" s="44"/>
      <c r="L1032" s="44"/>
      <c r="M1032" s="44"/>
    </row>
    <row r="1033" spans="1:13" s="91" customFormat="1" ht="23.25" customHeight="1">
      <c r="A1033" s="278"/>
      <c r="B1033" s="286" t="s">
        <v>290</v>
      </c>
      <c r="C1033" s="280"/>
      <c r="D1033" s="280"/>
      <c r="E1033" s="280"/>
      <c r="F1033" s="282"/>
      <c r="G1033" s="282"/>
      <c r="H1033" s="282"/>
      <c r="I1033" s="416"/>
      <c r="J1033" s="278"/>
      <c r="K1033" s="46"/>
      <c r="L1033" s="46"/>
      <c r="M1033" s="46"/>
    </row>
    <row r="1034" spans="1:13" s="91" customFormat="1" ht="23.25" customHeight="1">
      <c r="A1034" s="278"/>
      <c r="B1034" s="286" t="s">
        <v>283</v>
      </c>
      <c r="C1034" s="280"/>
      <c r="D1034" s="280"/>
      <c r="E1034" s="280"/>
      <c r="F1034" s="282"/>
      <c r="G1034" s="282"/>
      <c r="H1034" s="282"/>
      <c r="I1034" s="416">
        <f>I1032</f>
        <v>115.3</v>
      </c>
      <c r="J1034" s="343" t="s">
        <v>4</v>
      </c>
      <c r="K1034" s="44"/>
      <c r="L1034" s="44"/>
      <c r="M1034" s="44"/>
    </row>
    <row r="1035" spans="1:13" s="91" customFormat="1" ht="23.25" customHeight="1">
      <c r="A1035" s="278"/>
      <c r="B1035" s="286" t="s">
        <v>289</v>
      </c>
      <c r="C1035" s="280"/>
      <c r="D1035" s="280"/>
      <c r="E1035" s="280"/>
      <c r="F1035" s="282"/>
      <c r="G1035" s="282"/>
      <c r="H1035" s="282"/>
      <c r="I1035" s="416"/>
      <c r="J1035" s="278"/>
      <c r="K1035" s="46"/>
      <c r="L1035" s="46"/>
      <c r="M1035" s="46"/>
    </row>
    <row r="1036" spans="1:13" s="91" customFormat="1" ht="23.25" customHeight="1">
      <c r="A1036" s="278"/>
      <c r="B1036" s="286" t="s">
        <v>283</v>
      </c>
      <c r="C1036" s="280"/>
      <c r="D1036" s="280"/>
      <c r="E1036" s="280"/>
      <c r="F1036" s="282"/>
      <c r="G1036" s="282"/>
      <c r="H1036" s="282"/>
      <c r="I1036" s="416">
        <f>I1034</f>
        <v>115.3</v>
      </c>
      <c r="J1036" s="343" t="s">
        <v>4</v>
      </c>
      <c r="K1036" s="44"/>
      <c r="L1036" s="44"/>
      <c r="M1036" s="44"/>
    </row>
    <row r="1037" spans="1:13" s="91" customFormat="1" ht="23.25" customHeight="1">
      <c r="A1037" s="278"/>
      <c r="B1037" s="286" t="s">
        <v>288</v>
      </c>
      <c r="C1037" s="280"/>
      <c r="D1037" s="280"/>
      <c r="E1037" s="280"/>
      <c r="F1037" s="282"/>
      <c r="G1037" s="282"/>
      <c r="H1037" s="282"/>
      <c r="I1037" s="416"/>
      <c r="J1037" s="278"/>
      <c r="K1037" s="46"/>
      <c r="L1037" s="46"/>
      <c r="M1037" s="46"/>
    </row>
    <row r="1038" spans="1:13" s="91" customFormat="1" ht="23.25" customHeight="1">
      <c r="A1038" s="278"/>
      <c r="B1038" s="286" t="s">
        <v>283</v>
      </c>
      <c r="C1038" s="280"/>
      <c r="D1038" s="280"/>
      <c r="E1038" s="280"/>
      <c r="F1038" s="282"/>
      <c r="G1038" s="282"/>
      <c r="H1038" s="282"/>
      <c r="I1038" s="416">
        <f>I1036</f>
        <v>115.3</v>
      </c>
      <c r="J1038" s="343" t="s">
        <v>4</v>
      </c>
      <c r="K1038" s="44"/>
      <c r="L1038" s="44"/>
      <c r="M1038" s="44"/>
    </row>
    <row r="1039" spans="1:13" s="91" customFormat="1" ht="35.25" customHeight="1">
      <c r="A1039" s="288" t="s">
        <v>20</v>
      </c>
      <c r="B1039" s="286" t="s">
        <v>697</v>
      </c>
      <c r="C1039" s="280"/>
      <c r="D1039" s="280"/>
      <c r="E1039" s="280"/>
      <c r="F1039" s="282"/>
      <c r="G1039" s="282"/>
      <c r="H1039" s="282"/>
      <c r="I1039" s="283"/>
      <c r="J1039" s="278"/>
      <c r="K1039" s="46"/>
      <c r="L1039" s="46"/>
      <c r="M1039" s="46"/>
    </row>
    <row r="1040" spans="1:13" s="134" customFormat="1" ht="25.5" customHeight="1">
      <c r="A1040" s="288"/>
      <c r="B1040" s="286" t="s">
        <v>696</v>
      </c>
      <c r="C1040" s="280"/>
      <c r="D1040" s="280"/>
      <c r="E1040" s="280"/>
      <c r="F1040" s="282"/>
      <c r="G1040" s="282"/>
      <c r="H1040" s="282"/>
      <c r="I1040" s="283"/>
      <c r="J1040" s="278"/>
      <c r="K1040" s="46"/>
      <c r="L1040" s="46"/>
      <c r="M1040" s="46"/>
    </row>
    <row r="1041" spans="1:30" s="134" customFormat="1" ht="25.5" customHeight="1">
      <c r="A1041" s="288"/>
      <c r="B1041" s="279" t="s">
        <v>695</v>
      </c>
      <c r="C1041" s="280">
        <v>2</v>
      </c>
      <c r="D1041" s="280">
        <v>1</v>
      </c>
      <c r="E1041" s="280">
        <v>1</v>
      </c>
      <c r="F1041" s="282">
        <v>1</v>
      </c>
      <c r="G1041" s="282">
        <v>0.45</v>
      </c>
      <c r="H1041" s="282"/>
      <c r="I1041" s="283">
        <f>PRODUCT(C1041:H1041)</f>
        <v>0.9</v>
      </c>
      <c r="J1041" s="278"/>
      <c r="K1041" s="46"/>
      <c r="L1041" s="46"/>
      <c r="M1041" s="46"/>
    </row>
    <row r="1042" spans="1:30" s="134" customFormat="1" ht="20.25" customHeight="1">
      <c r="A1042" s="288"/>
      <c r="B1042" s="286"/>
      <c r="C1042" s="280"/>
      <c r="D1042" s="280"/>
      <c r="E1042" s="280"/>
      <c r="F1042" s="282"/>
      <c r="G1042" s="597" t="s">
        <v>41</v>
      </c>
      <c r="H1042" s="598"/>
      <c r="I1042" s="283">
        <f>I1041</f>
        <v>0.9</v>
      </c>
      <c r="J1042" s="278"/>
      <c r="K1042" s="46"/>
      <c r="L1042" s="46"/>
      <c r="M1042" s="46"/>
    </row>
    <row r="1043" spans="1:30" s="134" customFormat="1" ht="20.25" customHeight="1">
      <c r="A1043" s="288"/>
      <c r="B1043" s="286"/>
      <c r="C1043" s="280"/>
      <c r="D1043" s="280"/>
      <c r="E1043" s="280"/>
      <c r="F1043" s="282"/>
      <c r="G1043" s="589" t="s">
        <v>54</v>
      </c>
      <c r="H1043" s="590"/>
      <c r="I1043" s="416">
        <f>ROUNDUP(I1042,1)</f>
        <v>0.9</v>
      </c>
      <c r="J1043" s="288" t="s">
        <v>42</v>
      </c>
      <c r="K1043" s="133"/>
      <c r="L1043" s="133"/>
      <c r="M1043" s="133"/>
    </row>
    <row r="1044" spans="1:30" s="91" customFormat="1" ht="23.25" customHeight="1">
      <c r="A1044" s="278"/>
      <c r="B1044" s="286" t="s">
        <v>694</v>
      </c>
      <c r="C1044" s="280"/>
      <c r="D1044" s="280"/>
      <c r="E1044" s="280"/>
      <c r="F1044" s="282"/>
      <c r="G1044" s="282"/>
      <c r="H1044" s="282"/>
      <c r="I1044" s="283"/>
      <c r="J1044" s="278"/>
      <c r="K1044" s="46"/>
      <c r="L1044" s="46"/>
      <c r="M1044" s="46"/>
    </row>
    <row r="1045" spans="1:30" s="132" customFormat="1" ht="18" customHeight="1">
      <c r="A1045" s="307"/>
      <c r="B1045" s="319" t="s">
        <v>89</v>
      </c>
      <c r="C1045" s="321"/>
      <c r="D1045" s="307"/>
      <c r="E1045" s="307"/>
      <c r="F1045" s="308"/>
      <c r="G1045" s="308"/>
      <c r="H1045" s="308"/>
      <c r="I1045" s="323"/>
      <c r="J1045" s="307"/>
      <c r="K1045" s="94"/>
      <c r="L1045" s="94"/>
      <c r="M1045" s="94"/>
      <c r="N1045" s="94"/>
      <c r="O1045" s="94"/>
      <c r="P1045" s="94"/>
      <c r="Q1045" s="94"/>
      <c r="R1045" s="94"/>
      <c r="S1045" s="94"/>
      <c r="T1045" s="94"/>
      <c r="U1045" s="94"/>
      <c r="V1045" s="94"/>
      <c r="W1045" s="94"/>
      <c r="X1045" s="94"/>
      <c r="Y1045" s="94"/>
      <c r="Z1045" s="94"/>
      <c r="AA1045" s="94"/>
      <c r="AB1045" s="94"/>
      <c r="AC1045" s="94"/>
      <c r="AD1045" s="94"/>
    </row>
    <row r="1046" spans="1:30" s="132" customFormat="1" ht="18" customHeight="1">
      <c r="A1046" s="307"/>
      <c r="B1046" s="293" t="s">
        <v>667</v>
      </c>
      <c r="C1046" s="307">
        <v>10</v>
      </c>
      <c r="D1046" s="307">
        <v>1</v>
      </c>
      <c r="E1046" s="307">
        <v>1</v>
      </c>
      <c r="F1046" s="308">
        <v>0.9</v>
      </c>
      <c r="G1046" s="308">
        <v>0.3</v>
      </c>
      <c r="H1046" s="308"/>
      <c r="I1046" s="323">
        <f>PRODUCT(C1046:H1046)</f>
        <v>2.7</v>
      </c>
      <c r="J1046" s="307"/>
      <c r="K1046" s="94"/>
      <c r="L1046" s="94"/>
      <c r="M1046" s="94"/>
      <c r="N1046" s="94"/>
      <c r="O1046" s="94"/>
      <c r="P1046" s="94"/>
      <c r="Q1046" s="94"/>
      <c r="R1046" s="94"/>
      <c r="S1046" s="94"/>
      <c r="T1046" s="94"/>
      <c r="U1046" s="94"/>
      <c r="V1046" s="94"/>
      <c r="W1046" s="94"/>
      <c r="X1046" s="94"/>
      <c r="Y1046" s="94"/>
      <c r="Z1046" s="94"/>
      <c r="AA1046" s="94"/>
      <c r="AB1046" s="94"/>
      <c r="AC1046" s="94"/>
      <c r="AD1046" s="94"/>
    </row>
    <row r="1047" spans="1:30" s="132" customFormat="1" ht="18" customHeight="1">
      <c r="A1047" s="307"/>
      <c r="B1047" s="319" t="s">
        <v>666</v>
      </c>
      <c r="C1047" s="307"/>
      <c r="D1047" s="307"/>
      <c r="E1047" s="307"/>
      <c r="F1047" s="308"/>
      <c r="G1047" s="308"/>
      <c r="H1047" s="308"/>
      <c r="I1047" s="323"/>
      <c r="J1047" s="307"/>
      <c r="K1047" s="94"/>
      <c r="L1047" s="94"/>
      <c r="M1047" s="94"/>
      <c r="N1047" s="94"/>
      <c r="O1047" s="94"/>
      <c r="P1047" s="94"/>
      <c r="Q1047" s="94"/>
      <c r="R1047" s="94"/>
      <c r="S1047" s="94"/>
      <c r="T1047" s="94"/>
      <c r="U1047" s="94"/>
      <c r="V1047" s="94"/>
      <c r="W1047" s="94"/>
      <c r="X1047" s="94"/>
      <c r="Y1047" s="94"/>
      <c r="Z1047" s="94"/>
      <c r="AA1047" s="94"/>
      <c r="AB1047" s="94"/>
      <c r="AC1047" s="94"/>
      <c r="AD1047" s="94"/>
    </row>
    <row r="1048" spans="1:30" s="132" customFormat="1" ht="18" customHeight="1">
      <c r="A1048" s="307"/>
      <c r="B1048" s="293" t="s">
        <v>665</v>
      </c>
      <c r="C1048" s="307">
        <v>10</v>
      </c>
      <c r="D1048" s="307">
        <v>1</v>
      </c>
      <c r="E1048" s="307">
        <v>1</v>
      </c>
      <c r="F1048" s="308">
        <v>0.95</v>
      </c>
      <c r="G1048" s="308">
        <v>0.3</v>
      </c>
      <c r="H1048" s="308"/>
      <c r="I1048" s="323">
        <f>PRODUCT(C1048:H1048)</f>
        <v>2.85</v>
      </c>
      <c r="J1048" s="307"/>
      <c r="K1048" s="94"/>
      <c r="L1048" s="94"/>
      <c r="M1048" s="94"/>
      <c r="N1048" s="94"/>
      <c r="O1048" s="94"/>
      <c r="P1048" s="94"/>
      <c r="Q1048" s="94"/>
      <c r="R1048" s="94"/>
      <c r="S1048" s="94"/>
      <c r="T1048" s="94"/>
      <c r="U1048" s="94"/>
      <c r="V1048" s="94"/>
      <c r="W1048" s="94"/>
      <c r="X1048" s="94"/>
      <c r="Y1048" s="94"/>
      <c r="Z1048" s="94"/>
      <c r="AA1048" s="94"/>
      <c r="AB1048" s="94"/>
      <c r="AC1048" s="94"/>
      <c r="AD1048" s="94"/>
    </row>
    <row r="1049" spans="1:30" s="91" customFormat="1" ht="23.25" customHeight="1">
      <c r="A1049" s="278"/>
      <c r="B1049" s="279"/>
      <c r="C1049" s="280"/>
      <c r="D1049" s="280"/>
      <c r="E1049" s="280"/>
      <c r="F1049" s="282"/>
      <c r="G1049" s="282"/>
      <c r="H1049" s="282"/>
      <c r="I1049" s="416">
        <f>SUM(I1046:I1048)</f>
        <v>5.55</v>
      </c>
      <c r="J1049" s="340" t="s">
        <v>4</v>
      </c>
      <c r="K1049" s="39"/>
      <c r="L1049" s="39"/>
      <c r="M1049" s="39"/>
    </row>
    <row r="1050" spans="1:30" s="91" customFormat="1" ht="23.25" customHeight="1">
      <c r="A1050" s="278"/>
      <c r="B1050" s="279"/>
      <c r="C1050" s="280"/>
      <c r="D1050" s="280"/>
      <c r="E1050" s="280"/>
      <c r="F1050" s="282"/>
      <c r="G1050" s="282"/>
      <c r="H1050" s="415" t="s">
        <v>55</v>
      </c>
      <c r="I1050" s="416">
        <f>ROUNDUP(I1049,1)</f>
        <v>5.6</v>
      </c>
      <c r="J1050" s="343" t="s">
        <v>4</v>
      </c>
      <c r="K1050" s="44"/>
      <c r="L1050" s="44"/>
      <c r="M1050" s="44"/>
    </row>
    <row r="1051" spans="1:30" s="91" customFormat="1" ht="23.25" customHeight="1">
      <c r="A1051" s="278"/>
      <c r="B1051" s="286" t="s">
        <v>296</v>
      </c>
      <c r="C1051" s="280"/>
      <c r="D1051" s="280"/>
      <c r="E1051" s="280"/>
      <c r="F1051" s="282"/>
      <c r="G1051" s="282"/>
      <c r="H1051" s="415"/>
      <c r="I1051" s="416"/>
      <c r="J1051" s="278"/>
      <c r="K1051" s="46"/>
      <c r="L1051" s="46"/>
      <c r="M1051" s="46"/>
    </row>
    <row r="1052" spans="1:30" s="91" customFormat="1" ht="23.25" customHeight="1">
      <c r="A1052" s="278"/>
      <c r="B1052" s="286" t="s">
        <v>283</v>
      </c>
      <c r="C1052" s="280"/>
      <c r="D1052" s="280"/>
      <c r="E1052" s="280"/>
      <c r="F1052" s="282"/>
      <c r="G1052" s="282"/>
      <c r="H1052" s="415"/>
      <c r="I1052" s="416">
        <f>I1050</f>
        <v>5.6</v>
      </c>
      <c r="J1052" s="343" t="s">
        <v>4</v>
      </c>
      <c r="K1052" s="44"/>
      <c r="L1052" s="44"/>
      <c r="M1052" s="44"/>
    </row>
    <row r="1053" spans="1:30" s="91" customFormat="1" ht="23.25" customHeight="1">
      <c r="A1053" s="278"/>
      <c r="B1053" s="286" t="s">
        <v>295</v>
      </c>
      <c r="C1053" s="280"/>
      <c r="D1053" s="280"/>
      <c r="E1053" s="280"/>
      <c r="F1053" s="282"/>
      <c r="G1053" s="282"/>
      <c r="H1053" s="415"/>
      <c r="I1053" s="416"/>
      <c r="J1053" s="278"/>
      <c r="K1053" s="46"/>
      <c r="L1053" s="46"/>
      <c r="M1053" s="46"/>
    </row>
    <row r="1054" spans="1:30" s="91" customFormat="1" ht="23.25" customHeight="1">
      <c r="A1054" s="278"/>
      <c r="B1054" s="286" t="s">
        <v>283</v>
      </c>
      <c r="C1054" s="280"/>
      <c r="D1054" s="280"/>
      <c r="E1054" s="280"/>
      <c r="F1054" s="282"/>
      <c r="G1054" s="282"/>
      <c r="H1054" s="415"/>
      <c r="I1054" s="416">
        <f>I1052</f>
        <v>5.6</v>
      </c>
      <c r="J1054" s="343" t="s">
        <v>4</v>
      </c>
      <c r="K1054" s="44"/>
      <c r="L1054" s="44"/>
      <c r="M1054" s="44"/>
    </row>
    <row r="1055" spans="1:30" s="91" customFormat="1" ht="23.25" customHeight="1">
      <c r="A1055" s="278"/>
      <c r="B1055" s="286" t="s">
        <v>294</v>
      </c>
      <c r="C1055" s="280"/>
      <c r="D1055" s="280"/>
      <c r="E1055" s="280"/>
      <c r="F1055" s="282"/>
      <c r="G1055" s="282"/>
      <c r="H1055" s="415"/>
      <c r="I1055" s="416"/>
      <c r="J1055" s="278"/>
      <c r="K1055" s="46"/>
      <c r="L1055" s="46"/>
      <c r="M1055" s="46"/>
    </row>
    <row r="1056" spans="1:30" s="91" customFormat="1" ht="23.25" customHeight="1">
      <c r="A1056" s="278"/>
      <c r="B1056" s="286" t="s">
        <v>283</v>
      </c>
      <c r="C1056" s="280"/>
      <c r="D1056" s="280"/>
      <c r="E1056" s="280"/>
      <c r="F1056" s="282"/>
      <c r="G1056" s="282"/>
      <c r="H1056" s="415"/>
      <c r="I1056" s="416">
        <f>I1054</f>
        <v>5.6</v>
      </c>
      <c r="J1056" s="343" t="s">
        <v>4</v>
      </c>
      <c r="K1056" s="44"/>
      <c r="L1056" s="44"/>
      <c r="M1056" s="44"/>
    </row>
    <row r="1057" spans="1:13" s="91" customFormat="1" ht="23.25" customHeight="1">
      <c r="A1057" s="278"/>
      <c r="B1057" s="286" t="s">
        <v>293</v>
      </c>
      <c r="C1057" s="280"/>
      <c r="D1057" s="280"/>
      <c r="E1057" s="280"/>
      <c r="F1057" s="282"/>
      <c r="G1057" s="282"/>
      <c r="H1057" s="415"/>
      <c r="I1057" s="416"/>
      <c r="J1057" s="278"/>
      <c r="K1057" s="46"/>
      <c r="L1057" s="46"/>
      <c r="M1057" s="46"/>
    </row>
    <row r="1058" spans="1:13" s="91" customFormat="1" ht="23.25" customHeight="1">
      <c r="A1058" s="278"/>
      <c r="B1058" s="286" t="s">
        <v>283</v>
      </c>
      <c r="C1058" s="280"/>
      <c r="D1058" s="280"/>
      <c r="E1058" s="280"/>
      <c r="F1058" s="282"/>
      <c r="G1058" s="282"/>
      <c r="H1058" s="415"/>
      <c r="I1058" s="416">
        <f>I1056</f>
        <v>5.6</v>
      </c>
      <c r="J1058" s="343" t="s">
        <v>4</v>
      </c>
      <c r="K1058" s="44"/>
      <c r="L1058" s="44"/>
      <c r="M1058" s="44"/>
    </row>
    <row r="1059" spans="1:13" s="91" customFormat="1" ht="23.25" customHeight="1">
      <c r="A1059" s="278"/>
      <c r="B1059" s="286" t="s">
        <v>292</v>
      </c>
      <c r="C1059" s="280"/>
      <c r="D1059" s="280"/>
      <c r="E1059" s="280"/>
      <c r="F1059" s="282"/>
      <c r="G1059" s="282"/>
      <c r="H1059" s="415"/>
      <c r="I1059" s="416"/>
      <c r="J1059" s="278"/>
      <c r="K1059" s="46"/>
      <c r="L1059" s="46"/>
      <c r="M1059" s="46"/>
    </row>
    <row r="1060" spans="1:13" s="91" customFormat="1" ht="23.25" customHeight="1">
      <c r="A1060" s="278"/>
      <c r="B1060" s="286" t="s">
        <v>283</v>
      </c>
      <c r="C1060" s="280"/>
      <c r="D1060" s="280"/>
      <c r="E1060" s="280"/>
      <c r="F1060" s="282"/>
      <c r="G1060" s="282"/>
      <c r="H1060" s="415"/>
      <c r="I1060" s="416">
        <f>I1058</f>
        <v>5.6</v>
      </c>
      <c r="J1060" s="343" t="s">
        <v>4</v>
      </c>
      <c r="K1060" s="44"/>
      <c r="L1060" s="44"/>
      <c r="M1060" s="44"/>
    </row>
    <row r="1061" spans="1:13" s="91" customFormat="1" ht="23.25" customHeight="1">
      <c r="A1061" s="278"/>
      <c r="B1061" s="286" t="s">
        <v>291</v>
      </c>
      <c r="C1061" s="280"/>
      <c r="D1061" s="280"/>
      <c r="E1061" s="280"/>
      <c r="F1061" s="282"/>
      <c r="G1061" s="282"/>
      <c r="H1061" s="415"/>
      <c r="I1061" s="416"/>
      <c r="J1061" s="278"/>
      <c r="K1061" s="46"/>
      <c r="L1061" s="46"/>
      <c r="M1061" s="46"/>
    </row>
    <row r="1062" spans="1:13" s="91" customFormat="1" ht="23.25" customHeight="1">
      <c r="A1062" s="278"/>
      <c r="B1062" s="286" t="s">
        <v>283</v>
      </c>
      <c r="C1062" s="280"/>
      <c r="D1062" s="280"/>
      <c r="E1062" s="280"/>
      <c r="F1062" s="282"/>
      <c r="G1062" s="282"/>
      <c r="H1062" s="415"/>
      <c r="I1062" s="416">
        <f>I1060</f>
        <v>5.6</v>
      </c>
      <c r="J1062" s="343" t="s">
        <v>4</v>
      </c>
      <c r="K1062" s="44"/>
      <c r="L1062" s="44"/>
      <c r="M1062" s="44"/>
    </row>
    <row r="1063" spans="1:13" s="91" customFormat="1" ht="23.25" customHeight="1">
      <c r="A1063" s="278"/>
      <c r="B1063" s="286" t="s">
        <v>290</v>
      </c>
      <c r="C1063" s="280"/>
      <c r="D1063" s="280"/>
      <c r="E1063" s="280"/>
      <c r="F1063" s="282"/>
      <c r="G1063" s="282"/>
      <c r="H1063" s="415"/>
      <c r="I1063" s="416"/>
      <c r="J1063" s="278"/>
      <c r="K1063" s="46"/>
      <c r="L1063" s="46"/>
      <c r="M1063" s="46"/>
    </row>
    <row r="1064" spans="1:13" s="91" customFormat="1" ht="23.25" customHeight="1">
      <c r="A1064" s="278"/>
      <c r="B1064" s="286" t="s">
        <v>283</v>
      </c>
      <c r="C1064" s="280"/>
      <c r="D1064" s="280"/>
      <c r="E1064" s="280"/>
      <c r="F1064" s="282"/>
      <c r="G1064" s="282"/>
      <c r="H1064" s="415"/>
      <c r="I1064" s="416">
        <f>I1062</f>
        <v>5.6</v>
      </c>
      <c r="J1064" s="343" t="s">
        <v>4</v>
      </c>
      <c r="K1064" s="44"/>
      <c r="L1064" s="44"/>
      <c r="M1064" s="44"/>
    </row>
    <row r="1065" spans="1:13" s="91" customFormat="1" ht="23.25" customHeight="1">
      <c r="A1065" s="278"/>
      <c r="B1065" s="286" t="s">
        <v>289</v>
      </c>
      <c r="C1065" s="280"/>
      <c r="D1065" s="280"/>
      <c r="E1065" s="280"/>
      <c r="F1065" s="282"/>
      <c r="G1065" s="282"/>
      <c r="H1065" s="415"/>
      <c r="I1065" s="416"/>
      <c r="J1065" s="278"/>
      <c r="K1065" s="46"/>
      <c r="L1065" s="46"/>
      <c r="M1065" s="46"/>
    </row>
    <row r="1066" spans="1:13" s="91" customFormat="1" ht="23.25" customHeight="1">
      <c r="A1066" s="278"/>
      <c r="B1066" s="286" t="s">
        <v>283</v>
      </c>
      <c r="C1066" s="280"/>
      <c r="D1066" s="280"/>
      <c r="E1066" s="280"/>
      <c r="F1066" s="282"/>
      <c r="G1066" s="282"/>
      <c r="H1066" s="415"/>
      <c r="I1066" s="416">
        <f>I1064</f>
        <v>5.6</v>
      </c>
      <c r="J1066" s="343" t="s">
        <v>4</v>
      </c>
      <c r="K1066" s="44"/>
      <c r="L1066" s="44"/>
      <c r="M1066" s="44"/>
    </row>
    <row r="1067" spans="1:13" s="91" customFormat="1" ht="23.25" customHeight="1">
      <c r="A1067" s="278"/>
      <c r="B1067" s="286" t="s">
        <v>288</v>
      </c>
      <c r="C1067" s="280"/>
      <c r="D1067" s="280"/>
      <c r="E1067" s="280"/>
      <c r="F1067" s="282"/>
      <c r="G1067" s="282"/>
      <c r="H1067" s="415"/>
      <c r="I1067" s="416"/>
      <c r="J1067" s="278"/>
      <c r="K1067" s="46"/>
      <c r="L1067" s="46"/>
      <c r="M1067" s="46"/>
    </row>
    <row r="1068" spans="1:13" s="91" customFormat="1" ht="23.25" customHeight="1">
      <c r="A1068" s="278"/>
      <c r="B1068" s="286" t="s">
        <v>283</v>
      </c>
      <c r="C1068" s="280"/>
      <c r="D1068" s="280"/>
      <c r="E1068" s="280"/>
      <c r="F1068" s="282"/>
      <c r="G1068" s="282"/>
      <c r="H1068" s="415"/>
      <c r="I1068" s="416">
        <f>I1066</f>
        <v>5.6</v>
      </c>
      <c r="J1068" s="343" t="s">
        <v>4</v>
      </c>
      <c r="K1068" s="44"/>
      <c r="L1068" s="44"/>
      <c r="M1068" s="44"/>
    </row>
    <row r="1069" spans="1:13" s="114" customFormat="1" ht="23.25" customHeight="1">
      <c r="A1069" s="473"/>
      <c r="B1069" s="485"/>
      <c r="C1069" s="475"/>
      <c r="D1069" s="475"/>
      <c r="E1069" s="475"/>
      <c r="F1069" s="476"/>
      <c r="G1069" s="476"/>
      <c r="H1069" s="486"/>
      <c r="I1069" s="487"/>
      <c r="J1069" s="473"/>
      <c r="K1069" s="104"/>
      <c r="L1069" s="104"/>
      <c r="M1069" s="104"/>
    </row>
    <row r="1070" spans="1:13" s="91" customFormat="1" ht="47.25" customHeight="1">
      <c r="A1070" s="288">
        <v>16.100000000000001</v>
      </c>
      <c r="B1070" s="286" t="s">
        <v>693</v>
      </c>
      <c r="C1070" s="280"/>
      <c r="D1070" s="280"/>
      <c r="E1070" s="280"/>
      <c r="F1070" s="282"/>
      <c r="G1070" s="282"/>
      <c r="H1070" s="415"/>
      <c r="I1070" s="416"/>
      <c r="J1070" s="278"/>
      <c r="K1070" s="46"/>
      <c r="L1070" s="46"/>
      <c r="M1070" s="46"/>
    </row>
    <row r="1071" spans="1:13" s="91" customFormat="1" ht="19.5" customHeight="1">
      <c r="A1071" s="288"/>
      <c r="B1071" s="286" t="s">
        <v>692</v>
      </c>
      <c r="C1071" s="280"/>
      <c r="D1071" s="280"/>
      <c r="E1071" s="280"/>
      <c r="F1071" s="282"/>
      <c r="G1071" s="282"/>
      <c r="H1071" s="415"/>
      <c r="I1071" s="416"/>
      <c r="J1071" s="278"/>
      <c r="K1071" s="46"/>
      <c r="L1071" s="46"/>
      <c r="M1071" s="46"/>
    </row>
    <row r="1072" spans="1:13" s="134" customFormat="1" ht="19.5" customHeight="1">
      <c r="A1072" s="278"/>
      <c r="B1072" s="279" t="s">
        <v>691</v>
      </c>
      <c r="C1072" s="280">
        <v>1</v>
      </c>
      <c r="D1072" s="280">
        <v>1</v>
      </c>
      <c r="E1072" s="280">
        <v>1</v>
      </c>
      <c r="F1072" s="282">
        <v>0.6</v>
      </c>
      <c r="G1072" s="282"/>
      <c r="H1072" s="282">
        <v>0.6</v>
      </c>
      <c r="I1072" s="283">
        <f>PRODUCT(C1072:H1072)</f>
        <v>0.36</v>
      </c>
      <c r="J1072" s="278"/>
      <c r="K1072" s="46"/>
      <c r="L1072" s="46"/>
      <c r="M1072" s="46"/>
    </row>
    <row r="1073" spans="1:13" s="134" customFormat="1" ht="19.5" customHeight="1">
      <c r="A1073" s="278"/>
      <c r="B1073" s="322" t="s">
        <v>690</v>
      </c>
      <c r="C1073" s="280">
        <v>1</v>
      </c>
      <c r="D1073" s="280">
        <v>1</v>
      </c>
      <c r="E1073" s="280">
        <v>1</v>
      </c>
      <c r="F1073" s="282">
        <v>0.6</v>
      </c>
      <c r="G1073" s="282"/>
      <c r="H1073" s="282">
        <v>0.6</v>
      </c>
      <c r="I1073" s="283">
        <f>PRODUCT(C1073:H1073)</f>
        <v>0.36</v>
      </c>
      <c r="J1073" s="278"/>
      <c r="K1073" s="46"/>
      <c r="L1073" s="46"/>
      <c r="M1073" s="46"/>
    </row>
    <row r="1074" spans="1:13" s="134" customFormat="1" ht="19.5" customHeight="1">
      <c r="A1074" s="278"/>
      <c r="B1074" s="303"/>
      <c r="C1074" s="280"/>
      <c r="D1074" s="280"/>
      <c r="E1074" s="280"/>
      <c r="F1074" s="282"/>
      <c r="G1074" s="597"/>
      <c r="H1074" s="598"/>
      <c r="I1074" s="283">
        <f>SUM(I1072:I1073)</f>
        <v>0.72</v>
      </c>
      <c r="J1074" s="278" t="s">
        <v>42</v>
      </c>
      <c r="K1074" s="46"/>
      <c r="L1074" s="46"/>
      <c r="M1074" s="46"/>
    </row>
    <row r="1075" spans="1:13" s="91" customFormat="1" ht="19.5" customHeight="1">
      <c r="A1075" s="288"/>
      <c r="B1075" s="286"/>
      <c r="C1075" s="280"/>
      <c r="D1075" s="280"/>
      <c r="E1075" s="280"/>
      <c r="F1075" s="282"/>
      <c r="G1075" s="589" t="s">
        <v>55</v>
      </c>
      <c r="H1075" s="590"/>
      <c r="I1075" s="416">
        <f>ROUNDUP(I1074,1)</f>
        <v>0.8</v>
      </c>
      <c r="J1075" s="288" t="s">
        <v>42</v>
      </c>
      <c r="K1075" s="133"/>
      <c r="L1075" s="133"/>
      <c r="M1075" s="133"/>
    </row>
    <row r="1076" spans="1:13" s="91" customFormat="1" ht="23.25" customHeight="1">
      <c r="A1076" s="288">
        <v>21.2</v>
      </c>
      <c r="B1076" s="286" t="s">
        <v>689</v>
      </c>
      <c r="C1076" s="280"/>
      <c r="D1076" s="280"/>
      <c r="E1076" s="280"/>
      <c r="F1076" s="282"/>
      <c r="G1076" s="282"/>
      <c r="H1076" s="415"/>
      <c r="I1076" s="416"/>
      <c r="J1076" s="278"/>
      <c r="K1076" s="46"/>
      <c r="L1076" s="46"/>
      <c r="M1076" s="46"/>
    </row>
    <row r="1077" spans="1:13" s="91" customFormat="1" ht="23.25" customHeight="1">
      <c r="A1077" s="278"/>
      <c r="B1077" s="286" t="s">
        <v>688</v>
      </c>
      <c r="C1077" s="280"/>
      <c r="D1077" s="280"/>
      <c r="E1077" s="280"/>
      <c r="F1077" s="282"/>
      <c r="G1077" s="282"/>
      <c r="H1077" s="282"/>
      <c r="I1077" s="283"/>
      <c r="J1077" s="278"/>
      <c r="K1077" s="46"/>
      <c r="L1077" s="46"/>
      <c r="M1077" s="46"/>
    </row>
    <row r="1078" spans="1:13" s="91" customFormat="1" ht="23.25" customHeight="1">
      <c r="A1078" s="278"/>
      <c r="B1078" s="279" t="s">
        <v>687</v>
      </c>
      <c r="C1078" s="280">
        <v>100</v>
      </c>
      <c r="D1078" s="280">
        <v>1</v>
      </c>
      <c r="E1078" s="280">
        <v>2</v>
      </c>
      <c r="F1078" s="282">
        <v>0.1</v>
      </c>
      <c r="G1078" s="281">
        <v>7.4999999999999997E-2</v>
      </c>
      <c r="H1078" s="282">
        <v>2.1</v>
      </c>
      <c r="I1078" s="411">
        <f>PRODUCT(C1078:H1078)</f>
        <v>3.15</v>
      </c>
      <c r="J1078" s="278"/>
      <c r="K1078" s="46"/>
      <c r="L1078" s="46"/>
      <c r="M1078" s="46"/>
    </row>
    <row r="1079" spans="1:13" s="91" customFormat="1" ht="23.25" customHeight="1">
      <c r="A1079" s="278"/>
      <c r="B1079" s="279"/>
      <c r="C1079" s="280"/>
      <c r="D1079" s="280"/>
      <c r="E1079" s="280"/>
      <c r="F1079" s="282"/>
      <c r="G1079" s="589" t="s">
        <v>41</v>
      </c>
      <c r="H1079" s="590"/>
      <c r="I1079" s="488">
        <f>SUM(I1078:I1078)</f>
        <v>3.15</v>
      </c>
      <c r="J1079" s="343" t="s">
        <v>21</v>
      </c>
      <c r="K1079" s="44"/>
      <c r="L1079" s="44"/>
      <c r="M1079" s="44"/>
    </row>
    <row r="1080" spans="1:13" s="91" customFormat="1" ht="23.25" customHeight="1">
      <c r="A1080" s="278"/>
      <c r="B1080" s="286" t="s">
        <v>686</v>
      </c>
      <c r="C1080" s="280"/>
      <c r="D1080" s="280"/>
      <c r="E1080" s="280"/>
      <c r="F1080" s="282"/>
      <c r="G1080" s="282"/>
      <c r="H1080" s="415"/>
      <c r="I1080" s="488"/>
      <c r="J1080" s="278"/>
      <c r="K1080" s="46"/>
      <c r="L1080" s="46"/>
      <c r="M1080" s="46"/>
    </row>
    <row r="1081" spans="1:13" s="91" customFormat="1" ht="23.25" customHeight="1">
      <c r="A1081" s="278"/>
      <c r="B1081" s="279" t="s">
        <v>685</v>
      </c>
      <c r="C1081" s="280">
        <v>100</v>
      </c>
      <c r="D1081" s="280">
        <v>1</v>
      </c>
      <c r="E1081" s="280">
        <v>1</v>
      </c>
      <c r="F1081" s="282">
        <v>1</v>
      </c>
      <c r="G1081" s="281">
        <v>0.1</v>
      </c>
      <c r="H1081" s="281">
        <v>7.4999999999999997E-2</v>
      </c>
      <c r="I1081" s="411">
        <f>PRODUCT(C1081:H1081)</f>
        <v>0.75</v>
      </c>
      <c r="J1081" s="278"/>
      <c r="K1081" s="46"/>
      <c r="L1081" s="46"/>
      <c r="M1081" s="46"/>
    </row>
    <row r="1082" spans="1:13" s="91" customFormat="1" ht="23.25" customHeight="1">
      <c r="A1082" s="278"/>
      <c r="B1082" s="279" t="s">
        <v>685</v>
      </c>
      <c r="C1082" s="280">
        <v>100</v>
      </c>
      <c r="D1082" s="280">
        <v>1</v>
      </c>
      <c r="E1082" s="280">
        <v>1</v>
      </c>
      <c r="F1082" s="282">
        <v>1</v>
      </c>
      <c r="G1082" s="281">
        <v>0.1</v>
      </c>
      <c r="H1082" s="281">
        <v>0.05</v>
      </c>
      <c r="I1082" s="411">
        <f>PRODUCT(C1082:H1082)</f>
        <v>0.5</v>
      </c>
      <c r="J1082" s="278"/>
      <c r="K1082" s="46"/>
      <c r="L1082" s="46"/>
      <c r="M1082" s="46"/>
    </row>
    <row r="1083" spans="1:13" s="91" customFormat="1" ht="23.25" customHeight="1">
      <c r="A1083" s="278"/>
      <c r="B1083" s="279"/>
      <c r="C1083" s="280"/>
      <c r="D1083" s="280"/>
      <c r="E1083" s="280"/>
      <c r="F1083" s="282"/>
      <c r="G1083" s="415" t="s">
        <v>41</v>
      </c>
      <c r="H1083" s="282"/>
      <c r="I1083" s="488">
        <f>SUM(I1081:I1082)</f>
        <v>1.25</v>
      </c>
      <c r="J1083" s="343" t="s">
        <v>21</v>
      </c>
      <c r="K1083" s="44"/>
      <c r="L1083" s="44"/>
      <c r="M1083" s="44"/>
    </row>
    <row r="1084" spans="1:13" s="45" customFormat="1" ht="37.5" customHeight="1">
      <c r="A1084" s="489">
        <v>21.3</v>
      </c>
      <c r="B1084" s="490" t="s">
        <v>57</v>
      </c>
      <c r="C1084" s="491"/>
      <c r="D1084" s="280"/>
      <c r="E1084" s="491"/>
      <c r="F1084" s="337"/>
      <c r="G1084" s="337"/>
      <c r="H1084" s="337"/>
      <c r="I1084" s="347"/>
      <c r="J1084" s="278"/>
      <c r="K1084" s="46"/>
      <c r="L1084" s="46"/>
      <c r="M1084" s="46"/>
    </row>
    <row r="1085" spans="1:13" s="45" customFormat="1" ht="23.25" customHeight="1">
      <c r="A1085" s="340"/>
      <c r="B1085" s="492" t="s">
        <v>684</v>
      </c>
      <c r="C1085" s="493">
        <v>100</v>
      </c>
      <c r="D1085" s="280">
        <v>1</v>
      </c>
      <c r="E1085" s="493">
        <v>2</v>
      </c>
      <c r="F1085" s="338">
        <v>0.75</v>
      </c>
      <c r="G1085" s="338"/>
      <c r="H1085" s="338">
        <v>2.1</v>
      </c>
      <c r="I1085" s="347">
        <f>PRODUCT(C1085:H1085)</f>
        <v>315</v>
      </c>
      <c r="J1085" s="278"/>
      <c r="K1085" s="46"/>
      <c r="L1085" s="46"/>
      <c r="M1085" s="46"/>
    </row>
    <row r="1086" spans="1:13" s="45" customFormat="1" ht="23.25" customHeight="1">
      <c r="A1086" s="340"/>
      <c r="B1086" s="492" t="s">
        <v>683</v>
      </c>
      <c r="C1086" s="493">
        <v>1</v>
      </c>
      <c r="D1086" s="280">
        <v>1</v>
      </c>
      <c r="E1086" s="493">
        <v>2</v>
      </c>
      <c r="F1086" s="338">
        <v>0.75</v>
      </c>
      <c r="G1086" s="338"/>
      <c r="H1086" s="494">
        <v>2.1</v>
      </c>
      <c r="I1086" s="347">
        <f>PRODUCT(C1086:H1086)</f>
        <v>3.15</v>
      </c>
      <c r="J1086" s="278"/>
      <c r="K1086" s="46"/>
      <c r="L1086" s="46"/>
      <c r="M1086" s="46"/>
    </row>
    <row r="1087" spans="1:13" s="45" customFormat="1" ht="23.25" customHeight="1">
      <c r="A1087" s="340"/>
      <c r="B1087" s="495"/>
      <c r="C1087" s="491"/>
      <c r="D1087" s="280"/>
      <c r="E1087" s="491"/>
      <c r="F1087" s="337"/>
      <c r="G1087" s="587"/>
      <c r="H1087" s="588"/>
      <c r="I1087" s="416">
        <f>SUM(I1085:I1086)</f>
        <v>318.14999999999998</v>
      </c>
      <c r="J1087" s="343" t="s">
        <v>4</v>
      </c>
      <c r="K1087" s="44"/>
      <c r="L1087" s="44"/>
      <c r="M1087" s="44"/>
    </row>
    <row r="1088" spans="1:13" s="45" customFormat="1" ht="23.25" customHeight="1">
      <c r="A1088" s="340"/>
      <c r="B1088" s="495"/>
      <c r="C1088" s="491"/>
      <c r="D1088" s="280"/>
      <c r="E1088" s="491"/>
      <c r="F1088" s="337"/>
      <c r="G1088" s="595" t="s">
        <v>55</v>
      </c>
      <c r="H1088" s="596"/>
      <c r="I1088" s="416">
        <f>ROUNDUP(I1087,1)</f>
        <v>318.2</v>
      </c>
      <c r="J1088" s="343" t="s">
        <v>4</v>
      </c>
      <c r="K1088" s="44"/>
      <c r="L1088" s="44"/>
      <c r="M1088" s="44"/>
    </row>
    <row r="1089" spans="1:30" s="91" customFormat="1" ht="27" customHeight="1">
      <c r="A1089" s="278">
        <v>23.3</v>
      </c>
      <c r="B1089" s="286" t="s">
        <v>682</v>
      </c>
      <c r="C1089" s="280"/>
      <c r="D1089" s="280"/>
      <c r="E1089" s="280"/>
      <c r="F1089" s="282"/>
      <c r="G1089" s="282"/>
      <c r="H1089" s="415"/>
      <c r="I1089" s="416"/>
      <c r="J1089" s="278"/>
      <c r="K1089" s="46"/>
      <c r="L1089" s="46"/>
      <c r="M1089" s="46"/>
    </row>
    <row r="1090" spans="1:30" s="91" customFormat="1" ht="31.5" customHeight="1">
      <c r="A1090" s="278"/>
      <c r="B1090" s="279" t="s">
        <v>681</v>
      </c>
      <c r="C1090" s="280">
        <v>1</v>
      </c>
      <c r="D1090" s="280">
        <v>1</v>
      </c>
      <c r="E1090" s="280">
        <v>2</v>
      </c>
      <c r="F1090" s="282"/>
      <c r="G1090" s="282"/>
      <c r="H1090" s="415"/>
      <c r="I1090" s="283">
        <f>PRODUCT(C1090:H1090)</f>
        <v>2</v>
      </c>
      <c r="J1090" s="278"/>
      <c r="K1090" s="46"/>
      <c r="L1090" s="46"/>
      <c r="M1090" s="46"/>
    </row>
    <row r="1091" spans="1:30" s="91" customFormat="1" ht="32.25" customHeight="1">
      <c r="A1091" s="278"/>
      <c r="B1091" s="279" t="s">
        <v>1301</v>
      </c>
      <c r="C1091" s="280">
        <v>100</v>
      </c>
      <c r="D1091" s="280">
        <v>1</v>
      </c>
      <c r="E1091" s="280">
        <v>4</v>
      </c>
      <c r="F1091" s="282"/>
      <c r="G1091" s="282"/>
      <c r="H1091" s="415"/>
      <c r="I1091" s="283">
        <f>PRODUCT(C1091:H1091)</f>
        <v>400</v>
      </c>
      <c r="J1091" s="278"/>
      <c r="K1091" s="46"/>
      <c r="L1091" s="46"/>
      <c r="M1091" s="46"/>
    </row>
    <row r="1092" spans="1:30" s="91" customFormat="1" ht="23.25" customHeight="1">
      <c r="A1092" s="278"/>
      <c r="B1092" s="279"/>
      <c r="C1092" s="280"/>
      <c r="D1092" s="280"/>
      <c r="E1092" s="280"/>
      <c r="F1092" s="282"/>
      <c r="G1092" s="282"/>
      <c r="H1092" s="415" t="s">
        <v>55</v>
      </c>
      <c r="I1092" s="416">
        <f>SUM(I1090:I1091)</f>
        <v>402</v>
      </c>
      <c r="J1092" s="343" t="s">
        <v>23</v>
      </c>
      <c r="K1092" s="44"/>
      <c r="L1092" s="44"/>
      <c r="M1092" s="44"/>
    </row>
    <row r="1093" spans="1:30" s="73" customFormat="1" ht="23.25" customHeight="1">
      <c r="A1093" s="278">
        <v>265</v>
      </c>
      <c r="B1093" s="286" t="s">
        <v>680</v>
      </c>
      <c r="C1093" s="280"/>
      <c r="D1093" s="280"/>
      <c r="E1093" s="280"/>
      <c r="F1093" s="282"/>
      <c r="G1093" s="282"/>
      <c r="H1093" s="415"/>
      <c r="I1093" s="339"/>
      <c r="J1093" s="284"/>
      <c r="K1093" s="274"/>
      <c r="L1093" s="274"/>
      <c r="M1093" s="274"/>
      <c r="N1093" s="74"/>
      <c r="O1093" s="74"/>
      <c r="P1093" s="74"/>
      <c r="Q1093" s="74"/>
      <c r="R1093" s="74"/>
      <c r="S1093" s="74"/>
      <c r="T1093" s="74"/>
      <c r="U1093" s="74"/>
      <c r="V1093" s="74"/>
      <c r="W1093" s="74"/>
      <c r="X1093" s="74"/>
      <c r="Y1093" s="74"/>
      <c r="Z1093" s="74"/>
      <c r="AA1093" s="74"/>
      <c r="AB1093" s="74"/>
      <c r="AC1093" s="74"/>
      <c r="AD1093" s="74"/>
    </row>
    <row r="1094" spans="1:30" s="400" customFormat="1" ht="22.5" customHeight="1">
      <c r="A1094" s="395"/>
      <c r="B1094" s="396" t="s">
        <v>216</v>
      </c>
      <c r="C1094" s="397"/>
      <c r="D1094" s="397"/>
      <c r="E1094" s="397"/>
      <c r="F1094" s="398"/>
      <c r="G1094" s="398"/>
      <c r="H1094" s="398"/>
      <c r="I1094" s="399"/>
      <c r="J1094" s="396"/>
    </row>
    <row r="1095" spans="1:30" s="400" customFormat="1" ht="22.5" customHeight="1">
      <c r="A1095" s="395"/>
      <c r="B1095" s="401" t="s">
        <v>1436</v>
      </c>
      <c r="C1095" s="397">
        <v>1</v>
      </c>
      <c r="D1095" s="397">
        <v>1</v>
      </c>
      <c r="E1095" s="397">
        <v>7</v>
      </c>
      <c r="F1095" s="398">
        <v>1.5</v>
      </c>
      <c r="G1095" s="398" t="s">
        <v>26</v>
      </c>
      <c r="H1095" s="398">
        <v>1.35</v>
      </c>
      <c r="I1095" s="399">
        <f>PRODUCT(C1095:H1095)</f>
        <v>14.18</v>
      </c>
      <c r="J1095" s="396"/>
    </row>
    <row r="1096" spans="1:30" s="400" customFormat="1" ht="22.5" customHeight="1">
      <c r="A1096" s="395"/>
      <c r="B1096" s="401" t="s">
        <v>1441</v>
      </c>
      <c r="C1096" s="397">
        <v>1</v>
      </c>
      <c r="D1096" s="397">
        <v>1</v>
      </c>
      <c r="E1096" s="397">
        <v>2</v>
      </c>
      <c r="F1096" s="398">
        <v>1.8</v>
      </c>
      <c r="G1096" s="398" t="s">
        <v>26</v>
      </c>
      <c r="H1096" s="398">
        <v>1.35</v>
      </c>
      <c r="I1096" s="399">
        <f>PRODUCT(C1096:H1096)</f>
        <v>4.8600000000000003</v>
      </c>
      <c r="J1096" s="396"/>
    </row>
    <row r="1097" spans="1:30" s="400" customFormat="1" ht="22.5" customHeight="1">
      <c r="A1097" s="395"/>
      <c r="B1097" s="401" t="s">
        <v>1438</v>
      </c>
      <c r="C1097" s="397">
        <v>1</v>
      </c>
      <c r="D1097" s="397">
        <v>1</v>
      </c>
      <c r="E1097" s="397">
        <v>2</v>
      </c>
      <c r="F1097" s="398">
        <v>1.6</v>
      </c>
      <c r="G1097" s="398" t="s">
        <v>26</v>
      </c>
      <c r="H1097" s="398">
        <v>1.35</v>
      </c>
      <c r="I1097" s="399">
        <f>PRODUCT(C1097:H1097)</f>
        <v>4.32</v>
      </c>
      <c r="J1097" s="396"/>
    </row>
    <row r="1098" spans="1:30" s="400" customFormat="1" ht="22.5" customHeight="1">
      <c r="A1098" s="395"/>
      <c r="B1098" s="401" t="s">
        <v>1514</v>
      </c>
      <c r="C1098" s="397">
        <v>1</v>
      </c>
      <c r="D1098" s="397">
        <v>1</v>
      </c>
      <c r="E1098" s="397">
        <v>4</v>
      </c>
      <c r="F1098" s="398">
        <v>1.5</v>
      </c>
      <c r="G1098" s="398" t="s">
        <v>26</v>
      </c>
      <c r="H1098" s="398">
        <v>1.35</v>
      </c>
      <c r="I1098" s="399">
        <f>PRODUCT(C1098:H1098)</f>
        <v>8.1</v>
      </c>
      <c r="J1098" s="396"/>
    </row>
    <row r="1099" spans="1:30" s="400" customFormat="1" ht="22.5" customHeight="1">
      <c r="A1099" s="395"/>
      <c r="B1099" s="401" t="s">
        <v>1437</v>
      </c>
      <c r="C1099" s="397">
        <v>1</v>
      </c>
      <c r="D1099" s="397">
        <v>1</v>
      </c>
      <c r="E1099" s="397">
        <v>2</v>
      </c>
      <c r="F1099" s="398">
        <v>1.2</v>
      </c>
      <c r="G1099" s="398" t="s">
        <v>26</v>
      </c>
      <c r="H1099" s="398">
        <v>1.35</v>
      </c>
      <c r="I1099" s="399">
        <f>PRODUCT(C1099:H1099)</f>
        <v>3.24</v>
      </c>
      <c r="J1099" s="396"/>
    </row>
    <row r="1100" spans="1:30" s="400" customFormat="1" ht="22.5" customHeight="1">
      <c r="A1100" s="395"/>
      <c r="B1100" s="396" t="s">
        <v>1336</v>
      </c>
      <c r="C1100" s="397"/>
      <c r="D1100" s="397"/>
      <c r="E1100" s="397"/>
      <c r="F1100" s="398"/>
      <c r="G1100" s="398"/>
      <c r="H1100" s="398"/>
      <c r="I1100" s="399"/>
      <c r="J1100" s="396"/>
    </row>
    <row r="1101" spans="1:30" s="400" customFormat="1" ht="22.5" customHeight="1">
      <c r="A1101" s="395"/>
      <c r="B1101" s="401" t="s">
        <v>1449</v>
      </c>
      <c r="C1101" s="397">
        <v>1</v>
      </c>
      <c r="D1101" s="397">
        <v>1</v>
      </c>
      <c r="E1101" s="397">
        <v>100</v>
      </c>
      <c r="F1101" s="398">
        <v>1.5</v>
      </c>
      <c r="G1101" s="398" t="s">
        <v>26</v>
      </c>
      <c r="H1101" s="398">
        <v>1.35</v>
      </c>
      <c r="I1101" s="399">
        <f t="shared" ref="I1101:I1108" si="43">PRODUCT(C1101:H1101)</f>
        <v>202.5</v>
      </c>
      <c r="J1101" s="396"/>
    </row>
    <row r="1102" spans="1:30" s="400" customFormat="1" ht="22.5" customHeight="1">
      <c r="A1102" s="395"/>
      <c r="B1102" s="401" t="s">
        <v>1450</v>
      </c>
      <c r="C1102" s="397">
        <v>1</v>
      </c>
      <c r="D1102" s="397">
        <v>1</v>
      </c>
      <c r="E1102" s="397">
        <v>100</v>
      </c>
      <c r="F1102" s="398">
        <v>1.1000000000000001</v>
      </c>
      <c r="G1102" s="398" t="s">
        <v>26</v>
      </c>
      <c r="H1102" s="398">
        <v>1.05</v>
      </c>
      <c r="I1102" s="399">
        <f t="shared" si="43"/>
        <v>115.5</v>
      </c>
      <c r="J1102" s="396"/>
    </row>
    <row r="1103" spans="1:30" s="400" customFormat="1" ht="22.5" customHeight="1">
      <c r="A1103" s="395"/>
      <c r="B1103" s="401" t="s">
        <v>1440</v>
      </c>
      <c r="C1103" s="397">
        <v>1</v>
      </c>
      <c r="D1103" s="397">
        <v>1</v>
      </c>
      <c r="E1103" s="397">
        <v>100</v>
      </c>
      <c r="F1103" s="398">
        <v>1.8</v>
      </c>
      <c r="G1103" s="398" t="s">
        <v>26</v>
      </c>
      <c r="H1103" s="398">
        <v>1.35</v>
      </c>
      <c r="I1103" s="399">
        <f t="shared" si="43"/>
        <v>243</v>
      </c>
      <c r="J1103" s="396"/>
    </row>
    <row r="1104" spans="1:30" s="400" customFormat="1" ht="22.5" customHeight="1">
      <c r="A1104" s="395"/>
      <c r="B1104" s="401" t="s">
        <v>1436</v>
      </c>
      <c r="C1104" s="397">
        <v>1</v>
      </c>
      <c r="D1104" s="397">
        <v>1</v>
      </c>
      <c r="E1104" s="397">
        <v>100</v>
      </c>
      <c r="F1104" s="398">
        <v>1.5</v>
      </c>
      <c r="G1104" s="398" t="s">
        <v>26</v>
      </c>
      <c r="H1104" s="398">
        <v>1.35</v>
      </c>
      <c r="I1104" s="399">
        <f t="shared" si="43"/>
        <v>202.5</v>
      </c>
      <c r="J1104" s="396"/>
    </row>
    <row r="1105" spans="1:30" s="400" customFormat="1" ht="22.5" customHeight="1">
      <c r="A1105" s="395"/>
      <c r="B1105" s="401" t="s">
        <v>1441</v>
      </c>
      <c r="C1105" s="397">
        <v>1</v>
      </c>
      <c r="D1105" s="397">
        <v>10</v>
      </c>
      <c r="E1105" s="397">
        <v>2</v>
      </c>
      <c r="F1105" s="398">
        <v>1.8</v>
      </c>
      <c r="G1105" s="398" t="s">
        <v>26</v>
      </c>
      <c r="H1105" s="398">
        <v>1.35</v>
      </c>
      <c r="I1105" s="399">
        <f t="shared" si="43"/>
        <v>48.6</v>
      </c>
      <c r="J1105" s="396"/>
    </row>
    <row r="1106" spans="1:30" s="400" customFormat="1" ht="22.5" customHeight="1">
      <c r="A1106" s="395"/>
      <c r="B1106" s="401" t="s">
        <v>1437</v>
      </c>
      <c r="C1106" s="397">
        <v>1</v>
      </c>
      <c r="D1106" s="397">
        <v>10</v>
      </c>
      <c r="E1106" s="397">
        <v>4</v>
      </c>
      <c r="F1106" s="398">
        <v>1.2</v>
      </c>
      <c r="G1106" s="398" t="s">
        <v>26</v>
      </c>
      <c r="H1106" s="398">
        <v>1.35</v>
      </c>
      <c r="I1106" s="399">
        <f t="shared" si="43"/>
        <v>64.8</v>
      </c>
      <c r="J1106" s="396"/>
    </row>
    <row r="1107" spans="1:30" s="400" customFormat="1" ht="22.5" customHeight="1">
      <c r="A1107" s="395"/>
      <c r="B1107" s="396" t="s">
        <v>1424</v>
      </c>
      <c r="C1107" s="397"/>
      <c r="D1107" s="397"/>
      <c r="E1107" s="397"/>
      <c r="F1107" s="398"/>
      <c r="G1107" s="398"/>
      <c r="H1107" s="398"/>
      <c r="I1107" s="399"/>
      <c r="J1107" s="396"/>
    </row>
    <row r="1108" spans="1:30" s="400" customFormat="1" ht="22.5" customHeight="1">
      <c r="A1108" s="395"/>
      <c r="B1108" s="401" t="s">
        <v>1436</v>
      </c>
      <c r="C1108" s="397">
        <v>1</v>
      </c>
      <c r="D1108" s="397">
        <v>1</v>
      </c>
      <c r="E1108" s="397">
        <v>5</v>
      </c>
      <c r="F1108" s="398">
        <v>1.5</v>
      </c>
      <c r="G1108" s="398" t="s">
        <v>26</v>
      </c>
      <c r="H1108" s="398">
        <v>1.35</v>
      </c>
      <c r="I1108" s="399">
        <f t="shared" si="43"/>
        <v>10.130000000000001</v>
      </c>
      <c r="J1108" s="396"/>
    </row>
    <row r="1109" spans="1:30" s="73" customFormat="1" ht="23.25" customHeight="1">
      <c r="A1109" s="340"/>
      <c r="B1109" s="279"/>
      <c r="C1109" s="280"/>
      <c r="D1109" s="280"/>
      <c r="E1109" s="280"/>
      <c r="F1109" s="282"/>
      <c r="G1109" s="589" t="s">
        <v>41</v>
      </c>
      <c r="H1109" s="590"/>
      <c r="I1109" s="416">
        <f>SUM(I1094:I1108)</f>
        <v>921.73</v>
      </c>
      <c r="J1109" s="340"/>
      <c r="K1109" s="341"/>
      <c r="L1109" s="341"/>
      <c r="M1109" s="341"/>
      <c r="N1109" s="74"/>
      <c r="O1109" s="74"/>
      <c r="P1109" s="74"/>
      <c r="Q1109" s="74"/>
      <c r="R1109" s="74"/>
      <c r="S1109" s="74"/>
      <c r="T1109" s="74"/>
      <c r="U1109" s="74"/>
      <c r="V1109" s="74"/>
      <c r="W1109" s="74"/>
      <c r="X1109" s="74"/>
      <c r="Y1109" s="74"/>
      <c r="Z1109" s="74"/>
      <c r="AA1109" s="74"/>
      <c r="AB1109" s="74"/>
      <c r="AC1109" s="74"/>
      <c r="AD1109" s="74"/>
    </row>
    <row r="1110" spans="1:30" s="73" customFormat="1" ht="23.25" customHeight="1">
      <c r="A1110" s="340"/>
      <c r="B1110" s="279"/>
      <c r="C1110" s="280"/>
      <c r="D1110" s="280"/>
      <c r="E1110" s="280"/>
      <c r="F1110" s="282"/>
      <c r="G1110" s="589" t="s">
        <v>54</v>
      </c>
      <c r="H1110" s="590"/>
      <c r="I1110" s="416">
        <f>ROUNDUP(I1109,1)</f>
        <v>921.8</v>
      </c>
      <c r="J1110" s="343" t="s">
        <v>42</v>
      </c>
      <c r="K1110" s="344"/>
      <c r="L1110" s="344"/>
      <c r="M1110" s="344"/>
      <c r="N1110" s="74"/>
      <c r="O1110" s="74"/>
      <c r="P1110" s="74"/>
      <c r="Q1110" s="74"/>
      <c r="R1110" s="74"/>
      <c r="S1110" s="74"/>
      <c r="T1110" s="74"/>
      <c r="U1110" s="74"/>
      <c r="V1110" s="74"/>
      <c r="W1110" s="74"/>
      <c r="X1110" s="74"/>
      <c r="Y1110" s="74"/>
      <c r="Z1110" s="74"/>
      <c r="AA1110" s="74"/>
      <c r="AB1110" s="74"/>
      <c r="AC1110" s="74"/>
      <c r="AD1110" s="74"/>
    </row>
    <row r="1111" spans="1:30" s="5" customFormat="1" ht="23.25" customHeight="1">
      <c r="A1111" s="345">
        <v>25</v>
      </c>
      <c r="B1111" s="319" t="s">
        <v>1</v>
      </c>
      <c r="C1111" s="346"/>
      <c r="D1111" s="280"/>
      <c r="E1111" s="346"/>
      <c r="F1111" s="337"/>
      <c r="G1111" s="337"/>
      <c r="H1111" s="337"/>
      <c r="I1111" s="347"/>
      <c r="J1111" s="284"/>
      <c r="K1111" s="43"/>
      <c r="L1111" s="43"/>
      <c r="M1111" s="43"/>
      <c r="N1111" s="7"/>
      <c r="O1111" s="7"/>
      <c r="P1111" s="7"/>
      <c r="Q1111" s="7"/>
      <c r="R1111" s="7"/>
      <c r="S1111" s="7"/>
      <c r="T1111" s="7"/>
      <c r="U1111" s="7"/>
      <c r="V1111" s="7"/>
      <c r="W1111" s="7"/>
      <c r="X1111" s="7"/>
      <c r="Y1111" s="7"/>
      <c r="Z1111" s="7"/>
      <c r="AA1111" s="7"/>
      <c r="AB1111" s="7"/>
      <c r="AC1111" s="7"/>
      <c r="AD1111" s="7"/>
    </row>
    <row r="1112" spans="1:30" s="5" customFormat="1" ht="23.25" customHeight="1">
      <c r="A1112" s="289"/>
      <c r="B1112" s="293" t="s">
        <v>677</v>
      </c>
      <c r="C1112" s="294">
        <v>1</v>
      </c>
      <c r="D1112" s="280">
        <v>2</v>
      </c>
      <c r="E1112" s="294">
        <v>6</v>
      </c>
      <c r="F1112" s="338"/>
      <c r="G1112" s="337"/>
      <c r="H1112" s="337"/>
      <c r="I1112" s="347">
        <f>PRODUCT(C1112:H1112)</f>
        <v>12</v>
      </c>
      <c r="J1112" s="284"/>
      <c r="K1112" s="43"/>
      <c r="L1112" s="43"/>
      <c r="M1112" s="43"/>
      <c r="N1112" s="7"/>
      <c r="O1112" s="7"/>
      <c r="P1112" s="7"/>
      <c r="Q1112" s="7"/>
      <c r="R1112" s="7"/>
      <c r="S1112" s="7"/>
      <c r="T1112" s="7"/>
      <c r="U1112" s="7"/>
      <c r="V1112" s="7"/>
      <c r="W1112" s="7"/>
      <c r="X1112" s="7"/>
      <c r="Y1112" s="7"/>
      <c r="Z1112" s="7"/>
      <c r="AA1112" s="7"/>
      <c r="AB1112" s="7"/>
      <c r="AC1112" s="7"/>
      <c r="AD1112" s="7"/>
    </row>
    <row r="1113" spans="1:30" s="5" customFormat="1" ht="23.25" customHeight="1">
      <c r="A1113" s="289"/>
      <c r="B1113" s="293" t="s">
        <v>676</v>
      </c>
      <c r="C1113" s="294">
        <v>100</v>
      </c>
      <c r="D1113" s="280">
        <v>4</v>
      </c>
      <c r="E1113" s="294">
        <v>6</v>
      </c>
      <c r="F1113" s="338"/>
      <c r="G1113" s="337"/>
      <c r="H1113" s="337"/>
      <c r="I1113" s="347">
        <f>PRODUCT(C1113:H1113)</f>
        <v>2400</v>
      </c>
      <c r="J1113" s="284"/>
      <c r="K1113" s="43"/>
      <c r="L1113" s="43"/>
      <c r="M1113" s="43"/>
      <c r="N1113" s="7"/>
      <c r="O1113" s="7"/>
      <c r="P1113" s="7"/>
      <c r="Q1113" s="7"/>
      <c r="R1113" s="7"/>
      <c r="S1113" s="7"/>
      <c r="T1113" s="7"/>
      <c r="U1113" s="7"/>
      <c r="V1113" s="7"/>
      <c r="W1113" s="7"/>
      <c r="X1113" s="7"/>
      <c r="Y1113" s="7"/>
      <c r="Z1113" s="7"/>
      <c r="AA1113" s="7"/>
      <c r="AB1113" s="7"/>
      <c r="AC1113" s="7"/>
      <c r="AD1113" s="7"/>
    </row>
    <row r="1114" spans="1:30" s="5" customFormat="1" ht="23.25" customHeight="1">
      <c r="A1114" s="289"/>
      <c r="B1114" s="342"/>
      <c r="C1114" s="346"/>
      <c r="D1114" s="280"/>
      <c r="E1114" s="346"/>
      <c r="F1114" s="337"/>
      <c r="G1114" s="337"/>
      <c r="H1114" s="337"/>
      <c r="I1114" s="339">
        <f>SUM(I1112:I1113)</f>
        <v>2412</v>
      </c>
      <c r="J1114" s="343" t="s">
        <v>23</v>
      </c>
      <c r="K1114" s="44"/>
      <c r="L1114" s="44"/>
      <c r="M1114" s="44"/>
      <c r="N1114" s="7"/>
      <c r="O1114" s="7"/>
      <c r="P1114" s="7"/>
      <c r="Q1114" s="7"/>
      <c r="R1114" s="7"/>
      <c r="S1114" s="7"/>
      <c r="T1114" s="7"/>
      <c r="U1114" s="7"/>
      <c r="V1114" s="7"/>
      <c r="W1114" s="7"/>
      <c r="X1114" s="7"/>
      <c r="Y1114" s="7"/>
      <c r="Z1114" s="7"/>
      <c r="AA1114" s="7"/>
      <c r="AB1114" s="7"/>
      <c r="AC1114" s="7"/>
      <c r="AD1114" s="7"/>
    </row>
    <row r="1115" spans="1:30" s="5" customFormat="1" ht="23.25" customHeight="1">
      <c r="A1115" s="289">
        <v>26</v>
      </c>
      <c r="B1115" s="319" t="s">
        <v>675</v>
      </c>
      <c r="C1115" s="346"/>
      <c r="D1115" s="280"/>
      <c r="E1115" s="346"/>
      <c r="F1115" s="337"/>
      <c r="G1115" s="337"/>
      <c r="H1115" s="337"/>
      <c r="I1115" s="347"/>
      <c r="J1115" s="284"/>
      <c r="K1115" s="43"/>
      <c r="L1115" s="43"/>
      <c r="M1115" s="43"/>
      <c r="N1115" s="7"/>
      <c r="O1115" s="7"/>
      <c r="P1115" s="7"/>
      <c r="Q1115" s="7"/>
      <c r="R1115" s="7"/>
      <c r="S1115" s="7"/>
      <c r="T1115" s="7"/>
      <c r="U1115" s="7"/>
      <c r="V1115" s="7"/>
      <c r="W1115" s="7"/>
      <c r="X1115" s="7"/>
      <c r="Y1115" s="7"/>
      <c r="Z1115" s="7"/>
      <c r="AA1115" s="7"/>
      <c r="AB1115" s="7"/>
      <c r="AC1115" s="7"/>
      <c r="AD1115" s="7"/>
    </row>
    <row r="1116" spans="1:30" s="2" customFormat="1" ht="19.5" customHeight="1">
      <c r="A1116" s="288"/>
      <c r="B1116" s="286" t="s">
        <v>854</v>
      </c>
      <c r="C1116" s="280"/>
      <c r="D1116" s="280"/>
      <c r="E1116" s="280"/>
      <c r="F1116" s="282"/>
      <c r="G1116" s="282"/>
      <c r="H1116" s="415"/>
      <c r="I1116" s="416"/>
      <c r="J1116" s="284"/>
      <c r="K1116" s="43"/>
      <c r="L1116" s="43"/>
      <c r="M1116" s="43"/>
      <c r="N1116" s="9"/>
      <c r="O1116" s="9"/>
      <c r="P1116" s="9"/>
      <c r="Q1116" s="9"/>
      <c r="R1116" s="9"/>
      <c r="S1116" s="9"/>
      <c r="T1116" s="9"/>
      <c r="U1116" s="9"/>
      <c r="V1116" s="9"/>
      <c r="W1116" s="9"/>
      <c r="X1116" s="9"/>
      <c r="Y1116" s="9"/>
      <c r="Z1116" s="9"/>
      <c r="AA1116" s="9"/>
      <c r="AB1116" s="9"/>
      <c r="AC1116" s="9"/>
      <c r="AD1116" s="9"/>
    </row>
    <row r="1117" spans="1:30" s="367" customFormat="1" ht="22.5" customHeight="1">
      <c r="A1117" s="395"/>
      <c r="B1117" s="498" t="s">
        <v>89</v>
      </c>
      <c r="C1117" s="499">
        <v>1</v>
      </c>
      <c r="D1117" s="499">
        <v>1</v>
      </c>
      <c r="E1117" s="499">
        <v>10</v>
      </c>
      <c r="F1117" s="500">
        <v>3.35</v>
      </c>
      <c r="G1117" s="500">
        <v>5.07</v>
      </c>
      <c r="H1117" s="501">
        <v>7.4999999999999997E-2</v>
      </c>
      <c r="I1117" s="502">
        <f t="shared" ref="I1117:I1140" si="44">PRODUCT(C1117:H1117)</f>
        <v>12.74</v>
      </c>
      <c r="J1117" s="396"/>
    </row>
    <row r="1118" spans="1:30" s="367" customFormat="1" ht="22.5" customHeight="1">
      <c r="A1118" s="395"/>
      <c r="B1118" s="498" t="s">
        <v>430</v>
      </c>
      <c r="C1118" s="499">
        <v>1</v>
      </c>
      <c r="D1118" s="499">
        <v>1</v>
      </c>
      <c r="E1118" s="499">
        <v>10</v>
      </c>
      <c r="F1118" s="500">
        <v>3.35</v>
      </c>
      <c r="G1118" s="500">
        <v>3.6</v>
      </c>
      <c r="H1118" s="501">
        <v>7.4999999999999997E-2</v>
      </c>
      <c r="I1118" s="502">
        <f t="shared" si="44"/>
        <v>9.0500000000000007</v>
      </c>
      <c r="J1118" s="396"/>
    </row>
    <row r="1119" spans="1:30" s="367" customFormat="1" ht="22.5" customHeight="1">
      <c r="A1119" s="395"/>
      <c r="B1119" s="498" t="s">
        <v>1321</v>
      </c>
      <c r="C1119" s="499">
        <v>1</v>
      </c>
      <c r="D1119" s="499">
        <v>1</v>
      </c>
      <c r="E1119" s="499">
        <v>10</v>
      </c>
      <c r="F1119" s="500">
        <v>3.39</v>
      </c>
      <c r="G1119" s="500">
        <v>4.67</v>
      </c>
      <c r="H1119" s="501">
        <v>7.4999999999999997E-2</v>
      </c>
      <c r="I1119" s="502">
        <f t="shared" si="44"/>
        <v>11.87</v>
      </c>
      <c r="J1119" s="396"/>
    </row>
    <row r="1120" spans="1:30" s="367" customFormat="1" ht="16.5">
      <c r="A1120" s="395"/>
      <c r="B1120" s="498" t="s">
        <v>1322</v>
      </c>
      <c r="C1120" s="499">
        <v>1</v>
      </c>
      <c r="D1120" s="499">
        <v>1</v>
      </c>
      <c r="E1120" s="499">
        <v>10</v>
      </c>
      <c r="F1120" s="500">
        <v>3.39</v>
      </c>
      <c r="G1120" s="500">
        <v>4</v>
      </c>
      <c r="H1120" s="501">
        <v>7.4999999999999997E-2</v>
      </c>
      <c r="I1120" s="502">
        <f t="shared" si="44"/>
        <v>10.17</v>
      </c>
      <c r="J1120" s="396"/>
    </row>
    <row r="1121" spans="1:10" s="367" customFormat="1" ht="22.5" customHeight="1">
      <c r="A1121" s="395"/>
      <c r="B1121" s="498" t="s">
        <v>1323</v>
      </c>
      <c r="C1121" s="499">
        <v>1</v>
      </c>
      <c r="D1121" s="499">
        <v>1</v>
      </c>
      <c r="E1121" s="499">
        <v>1</v>
      </c>
      <c r="F1121" s="500">
        <v>26.71</v>
      </c>
      <c r="G1121" s="500">
        <v>1.8</v>
      </c>
      <c r="H1121" s="501">
        <v>7.4999999999999997E-2</v>
      </c>
      <c r="I1121" s="502">
        <f t="shared" si="44"/>
        <v>3.61</v>
      </c>
      <c r="J1121" s="396"/>
    </row>
    <row r="1122" spans="1:10" s="367" customFormat="1" ht="22.5" customHeight="1">
      <c r="A1122" s="395"/>
      <c r="B1122" s="498" t="s">
        <v>1324</v>
      </c>
      <c r="C1122" s="499">
        <v>1</v>
      </c>
      <c r="D1122" s="499">
        <v>1</v>
      </c>
      <c r="E1122" s="499">
        <v>1</v>
      </c>
      <c r="F1122" s="500">
        <v>4.99</v>
      </c>
      <c r="G1122" s="500">
        <v>6.06</v>
      </c>
      <c r="H1122" s="501">
        <v>7.4999999999999997E-2</v>
      </c>
      <c r="I1122" s="502">
        <f t="shared" si="44"/>
        <v>2.27</v>
      </c>
      <c r="J1122" s="396"/>
    </row>
    <row r="1123" spans="1:10" s="367" customFormat="1" ht="22.5" customHeight="1">
      <c r="A1123" s="395"/>
      <c r="B1123" s="498" t="s">
        <v>1325</v>
      </c>
      <c r="C1123" s="499">
        <v>1</v>
      </c>
      <c r="D1123" s="499">
        <v>1</v>
      </c>
      <c r="E1123" s="499">
        <v>2</v>
      </c>
      <c r="F1123" s="500">
        <v>26.71</v>
      </c>
      <c r="G1123" s="500">
        <v>1.9</v>
      </c>
      <c r="H1123" s="501">
        <v>7.4999999999999997E-2</v>
      </c>
      <c r="I1123" s="502">
        <f t="shared" si="44"/>
        <v>7.61</v>
      </c>
      <c r="J1123" s="396"/>
    </row>
    <row r="1124" spans="1:10" s="367" customFormat="1" ht="22.5" customHeight="1">
      <c r="A1124" s="395"/>
      <c r="B1124" s="498" t="s">
        <v>673</v>
      </c>
      <c r="C1124" s="499">
        <v>1</v>
      </c>
      <c r="D1124" s="499">
        <v>1</v>
      </c>
      <c r="E1124" s="499">
        <v>2</v>
      </c>
      <c r="F1124" s="500">
        <v>2.85</v>
      </c>
      <c r="G1124" s="500">
        <v>5.56</v>
      </c>
      <c r="H1124" s="501">
        <v>7.4999999999999997E-2</v>
      </c>
      <c r="I1124" s="502">
        <f t="shared" si="44"/>
        <v>2.38</v>
      </c>
      <c r="J1124" s="396"/>
    </row>
    <row r="1125" spans="1:10" s="367" customFormat="1" ht="33.75" customHeight="1">
      <c r="A1125" s="395"/>
      <c r="B1125" s="498" t="s">
        <v>1326</v>
      </c>
      <c r="C1125" s="499">
        <v>1</v>
      </c>
      <c r="D1125" s="499">
        <v>1</v>
      </c>
      <c r="E1125" s="499">
        <v>1</v>
      </c>
      <c r="F1125" s="500">
        <v>6.2</v>
      </c>
      <c r="G1125" s="500">
        <v>6.06</v>
      </c>
      <c r="H1125" s="501">
        <v>7.4999999999999997E-2</v>
      </c>
      <c r="I1125" s="502">
        <f t="shared" si="44"/>
        <v>2.82</v>
      </c>
      <c r="J1125" s="396"/>
    </row>
    <row r="1126" spans="1:10" s="367" customFormat="1" ht="22.5" customHeight="1">
      <c r="A1126" s="395"/>
      <c r="B1126" s="498" t="s">
        <v>1327</v>
      </c>
      <c r="C1126" s="499">
        <v>1</v>
      </c>
      <c r="D1126" s="499">
        <v>1</v>
      </c>
      <c r="E1126" s="499">
        <v>2</v>
      </c>
      <c r="F1126" s="500">
        <v>3.66</v>
      </c>
      <c r="G1126" s="500">
        <v>1.9</v>
      </c>
      <c r="H1126" s="501">
        <v>7.4999999999999997E-2</v>
      </c>
      <c r="I1126" s="502">
        <f t="shared" si="44"/>
        <v>1.04</v>
      </c>
      <c r="J1126" s="396"/>
    </row>
    <row r="1127" spans="1:10" s="367" customFormat="1" ht="22.5" customHeight="1">
      <c r="A1127" s="395"/>
      <c r="B1127" s="498" t="s">
        <v>1327</v>
      </c>
      <c r="C1127" s="499">
        <v>1</v>
      </c>
      <c r="D1127" s="499">
        <v>1</v>
      </c>
      <c r="E1127" s="499">
        <v>2</v>
      </c>
      <c r="F1127" s="500">
        <v>0.66</v>
      </c>
      <c r="G1127" s="500">
        <v>1.1599999999999999</v>
      </c>
      <c r="H1127" s="501">
        <v>7.4999999999999997E-2</v>
      </c>
      <c r="I1127" s="502">
        <f t="shared" si="44"/>
        <v>0.11</v>
      </c>
      <c r="J1127" s="396"/>
    </row>
    <row r="1128" spans="1:10" s="367" customFormat="1" ht="22.5" customHeight="1">
      <c r="A1128" s="395"/>
      <c r="B1128" s="498" t="s">
        <v>1327</v>
      </c>
      <c r="C1128" s="499">
        <v>1</v>
      </c>
      <c r="D1128" s="503">
        <v>0.5</v>
      </c>
      <c r="E1128" s="499">
        <v>2</v>
      </c>
      <c r="F1128" s="500">
        <v>1.24</v>
      </c>
      <c r="G1128" s="500">
        <v>1.1599999999999999</v>
      </c>
      <c r="H1128" s="501">
        <v>7.4999999999999997E-2</v>
      </c>
      <c r="I1128" s="502">
        <f t="shared" si="44"/>
        <v>0.11</v>
      </c>
      <c r="J1128" s="396"/>
    </row>
    <row r="1129" spans="1:10" s="367" customFormat="1" ht="22.5" customHeight="1">
      <c r="A1129" s="395"/>
      <c r="B1129" s="498" t="s">
        <v>1328</v>
      </c>
      <c r="C1129" s="499">
        <v>1</v>
      </c>
      <c r="D1129" s="499">
        <v>1</v>
      </c>
      <c r="E1129" s="499">
        <v>2</v>
      </c>
      <c r="F1129" s="500">
        <v>1.94</v>
      </c>
      <c r="G1129" s="500">
        <v>1.8</v>
      </c>
      <c r="H1129" s="501">
        <v>7.4999999999999997E-2</v>
      </c>
      <c r="I1129" s="502">
        <f t="shared" si="44"/>
        <v>0.52</v>
      </c>
      <c r="J1129" s="396"/>
    </row>
    <row r="1130" spans="1:10" s="367" customFormat="1" ht="22.5" customHeight="1">
      <c r="A1130" s="395"/>
      <c r="B1130" s="498" t="s">
        <v>1329</v>
      </c>
      <c r="C1130" s="499">
        <v>1</v>
      </c>
      <c r="D1130" s="499">
        <v>1</v>
      </c>
      <c r="E1130" s="499">
        <v>2</v>
      </c>
      <c r="F1130" s="500">
        <v>2.85</v>
      </c>
      <c r="G1130" s="500">
        <v>0.55000000000000004</v>
      </c>
      <c r="H1130" s="501">
        <v>7.4999999999999997E-2</v>
      </c>
      <c r="I1130" s="502">
        <f t="shared" si="44"/>
        <v>0.24</v>
      </c>
      <c r="J1130" s="396"/>
    </row>
    <row r="1131" spans="1:10" s="367" customFormat="1" ht="22.5" customHeight="1">
      <c r="A1131" s="395"/>
      <c r="B1131" s="498" t="s">
        <v>1330</v>
      </c>
      <c r="C1131" s="499">
        <v>1</v>
      </c>
      <c r="D1131" s="499">
        <v>1</v>
      </c>
      <c r="E1131" s="499">
        <v>2</v>
      </c>
      <c r="F1131" s="500">
        <v>5</v>
      </c>
      <c r="G1131" s="500">
        <v>1.9</v>
      </c>
      <c r="H1131" s="501">
        <v>7.4999999999999997E-2</v>
      </c>
      <c r="I1131" s="502">
        <f t="shared" si="44"/>
        <v>1.43</v>
      </c>
      <c r="J1131" s="396"/>
    </row>
    <row r="1132" spans="1:10" s="367" customFormat="1" ht="22.5" customHeight="1">
      <c r="A1132" s="395"/>
      <c r="B1132" s="498" t="s">
        <v>1330</v>
      </c>
      <c r="C1132" s="499">
        <v>1</v>
      </c>
      <c r="D1132" s="499">
        <v>1</v>
      </c>
      <c r="E1132" s="499">
        <v>2</v>
      </c>
      <c r="F1132" s="500">
        <v>0.6</v>
      </c>
      <c r="G1132" s="500">
        <v>1.31</v>
      </c>
      <c r="H1132" s="501">
        <v>7.4999999999999997E-2</v>
      </c>
      <c r="I1132" s="502">
        <f t="shared" si="44"/>
        <v>0.12</v>
      </c>
      <c r="J1132" s="396"/>
    </row>
    <row r="1133" spans="1:10" s="367" customFormat="1" ht="22.5" customHeight="1">
      <c r="A1133" s="395"/>
      <c r="B1133" s="498" t="s">
        <v>1330</v>
      </c>
      <c r="C1133" s="499">
        <v>1</v>
      </c>
      <c r="D1133" s="503">
        <v>0.5</v>
      </c>
      <c r="E1133" s="499">
        <v>2</v>
      </c>
      <c r="F1133" s="500">
        <v>1.3</v>
      </c>
      <c r="G1133" s="500">
        <v>1.31</v>
      </c>
      <c r="H1133" s="501">
        <v>7.4999999999999997E-2</v>
      </c>
      <c r="I1133" s="502">
        <f t="shared" si="44"/>
        <v>0.13</v>
      </c>
      <c r="J1133" s="396"/>
    </row>
    <row r="1134" spans="1:10" s="367" customFormat="1" ht="22.5" customHeight="1">
      <c r="A1134" s="395"/>
      <c r="B1134" s="504" t="s">
        <v>944</v>
      </c>
      <c r="C1134" s="499"/>
      <c r="D1134" s="499"/>
      <c r="E1134" s="499"/>
      <c r="F1134" s="500"/>
      <c r="G1134" s="500"/>
      <c r="H1134" s="500"/>
      <c r="I1134" s="502"/>
      <c r="J1134" s="396"/>
    </row>
    <row r="1135" spans="1:10" s="367" customFormat="1" ht="22.5" customHeight="1">
      <c r="A1135" s="395"/>
      <c r="B1135" s="498" t="s">
        <v>994</v>
      </c>
      <c r="C1135" s="499">
        <v>-1</v>
      </c>
      <c r="D1135" s="499">
        <v>1</v>
      </c>
      <c r="E1135" s="499">
        <v>2</v>
      </c>
      <c r="F1135" s="500">
        <v>3.06</v>
      </c>
      <c r="G1135" s="500">
        <v>1.9</v>
      </c>
      <c r="H1135" s="501">
        <v>7.4999999999999997E-2</v>
      </c>
      <c r="I1135" s="502">
        <f t="shared" si="44"/>
        <v>-0.87</v>
      </c>
      <c r="J1135" s="396"/>
    </row>
    <row r="1136" spans="1:10" s="367" customFormat="1" ht="22.5" customHeight="1">
      <c r="A1136" s="395"/>
      <c r="B1136" s="498" t="s">
        <v>1331</v>
      </c>
      <c r="C1136" s="499">
        <v>-1</v>
      </c>
      <c r="D1136" s="499">
        <v>1</v>
      </c>
      <c r="E1136" s="499">
        <v>1</v>
      </c>
      <c r="F1136" s="500">
        <v>2.5299999999999998</v>
      </c>
      <c r="G1136" s="500">
        <v>3.23</v>
      </c>
      <c r="H1136" s="501">
        <v>7.4999999999999997E-2</v>
      </c>
      <c r="I1136" s="502">
        <f t="shared" si="44"/>
        <v>-0.61</v>
      </c>
      <c r="J1136" s="396"/>
    </row>
    <row r="1137" spans="1:30" s="367" customFormat="1" ht="16.5">
      <c r="A1137" s="395"/>
      <c r="B1137" s="498" t="s">
        <v>1332</v>
      </c>
      <c r="C1137" s="499">
        <v>-1</v>
      </c>
      <c r="D1137" s="499">
        <v>1</v>
      </c>
      <c r="E1137" s="499">
        <v>10</v>
      </c>
      <c r="F1137" s="500">
        <v>0.99</v>
      </c>
      <c r="G1137" s="500">
        <v>0.23</v>
      </c>
      <c r="H1137" s="501">
        <v>7.4999999999999997E-2</v>
      </c>
      <c r="I1137" s="399">
        <f t="shared" si="44"/>
        <v>-0.17</v>
      </c>
      <c r="J1137" s="396"/>
    </row>
    <row r="1138" spans="1:30" s="367" customFormat="1" ht="16.5">
      <c r="A1138" s="395"/>
      <c r="B1138" s="498" t="s">
        <v>1333</v>
      </c>
      <c r="C1138" s="499">
        <v>-1</v>
      </c>
      <c r="D1138" s="499">
        <v>1</v>
      </c>
      <c r="E1138" s="499">
        <v>10</v>
      </c>
      <c r="F1138" s="500">
        <v>4</v>
      </c>
      <c r="G1138" s="500">
        <v>0.23</v>
      </c>
      <c r="H1138" s="501">
        <v>7.4999999999999997E-2</v>
      </c>
      <c r="I1138" s="399">
        <f t="shared" si="44"/>
        <v>-0.69</v>
      </c>
      <c r="J1138" s="396"/>
    </row>
    <row r="1139" spans="1:30" s="367" customFormat="1" ht="22.5" customHeight="1">
      <c r="A1139" s="395"/>
      <c r="B1139" s="498" t="s">
        <v>1334</v>
      </c>
      <c r="C1139" s="499">
        <v>-1</v>
      </c>
      <c r="D1139" s="499">
        <v>1</v>
      </c>
      <c r="E1139" s="499">
        <v>3</v>
      </c>
      <c r="F1139" s="500">
        <v>0.23</v>
      </c>
      <c r="G1139" s="500">
        <v>1.9</v>
      </c>
      <c r="H1139" s="501">
        <v>7.4999999999999997E-2</v>
      </c>
      <c r="I1139" s="502">
        <f t="shared" si="44"/>
        <v>-0.1</v>
      </c>
      <c r="J1139" s="396"/>
    </row>
    <row r="1140" spans="1:30" s="367" customFormat="1" ht="22.5" customHeight="1">
      <c r="A1140" s="395"/>
      <c r="B1140" s="498" t="s">
        <v>1335</v>
      </c>
      <c r="C1140" s="499">
        <v>-1</v>
      </c>
      <c r="D1140" s="499">
        <v>1</v>
      </c>
      <c r="E1140" s="499">
        <v>15</v>
      </c>
      <c r="F1140" s="500">
        <v>0.23</v>
      </c>
      <c r="G1140" s="500">
        <v>1.9</v>
      </c>
      <c r="H1140" s="501">
        <v>7.4999999999999997E-2</v>
      </c>
      <c r="I1140" s="502">
        <f t="shared" si="44"/>
        <v>-0.49</v>
      </c>
      <c r="J1140" s="396"/>
    </row>
    <row r="1141" spans="1:30" s="102" customFormat="1" ht="23.25" customHeight="1">
      <c r="A1141" s="294"/>
      <c r="B1141" s="293"/>
      <c r="C1141" s="294"/>
      <c r="D1141" s="280"/>
      <c r="E1141" s="294"/>
      <c r="F1141" s="338"/>
      <c r="G1141" s="338"/>
      <c r="H1141" s="404" t="s">
        <v>41</v>
      </c>
      <c r="I1141" s="416">
        <f>SUM(I1116:I1140)</f>
        <v>63.29</v>
      </c>
      <c r="J1141" s="343" t="s">
        <v>21</v>
      </c>
      <c r="K1141" s="44"/>
      <c r="L1141" s="44"/>
      <c r="M1141" s="44"/>
      <c r="N1141" s="103"/>
      <c r="O1141" s="103"/>
      <c r="P1141" s="103"/>
      <c r="Q1141" s="103"/>
      <c r="R1141" s="103"/>
      <c r="S1141" s="103"/>
      <c r="T1141" s="103"/>
      <c r="U1141" s="103"/>
      <c r="V1141" s="103"/>
      <c r="W1141" s="103"/>
      <c r="X1141" s="103"/>
      <c r="Y1141" s="103"/>
      <c r="Z1141" s="103"/>
      <c r="AA1141" s="103"/>
      <c r="AB1141" s="103"/>
      <c r="AC1141" s="103"/>
      <c r="AD1141" s="103"/>
    </row>
    <row r="1142" spans="1:30" s="102" customFormat="1" ht="23.25" customHeight="1">
      <c r="A1142" s="294"/>
      <c r="B1142" s="293"/>
      <c r="C1142" s="294"/>
      <c r="D1142" s="280"/>
      <c r="E1142" s="294"/>
      <c r="F1142" s="338"/>
      <c r="G1142" s="338"/>
      <c r="H1142" s="415" t="s">
        <v>55</v>
      </c>
      <c r="I1142" s="416">
        <f>ROUNDUP(I1141,1)</f>
        <v>63.3</v>
      </c>
      <c r="J1142" s="343" t="s">
        <v>21</v>
      </c>
      <c r="K1142" s="44"/>
      <c r="L1142" s="44"/>
      <c r="M1142" s="44"/>
      <c r="N1142" s="103"/>
      <c r="O1142" s="103"/>
      <c r="P1142" s="103"/>
      <c r="Q1142" s="103"/>
      <c r="R1142" s="103"/>
      <c r="S1142" s="103"/>
      <c r="T1142" s="103"/>
      <c r="U1142" s="103"/>
      <c r="V1142" s="103"/>
      <c r="W1142" s="103"/>
      <c r="X1142" s="103"/>
      <c r="Y1142" s="103"/>
      <c r="Z1142" s="103"/>
      <c r="AA1142" s="103"/>
      <c r="AB1142" s="103"/>
      <c r="AC1142" s="103"/>
      <c r="AD1142" s="103"/>
    </row>
    <row r="1143" spans="1:30" s="5" customFormat="1" ht="23.25" customHeight="1">
      <c r="A1143" s="289">
        <v>28</v>
      </c>
      <c r="B1143" s="319" t="s">
        <v>674</v>
      </c>
      <c r="C1143" s="346"/>
      <c r="D1143" s="280"/>
      <c r="E1143" s="346"/>
      <c r="F1143" s="337"/>
      <c r="G1143" s="337"/>
      <c r="H1143" s="337"/>
      <c r="I1143" s="347"/>
      <c r="J1143" s="284"/>
      <c r="K1143" s="43"/>
      <c r="L1143" s="43"/>
      <c r="M1143" s="43"/>
      <c r="N1143" s="7"/>
      <c r="O1143" s="7"/>
      <c r="P1143" s="7"/>
      <c r="Q1143" s="7"/>
      <c r="R1143" s="7"/>
      <c r="S1143" s="7"/>
      <c r="T1143" s="7"/>
      <c r="U1143" s="7"/>
      <c r="V1143" s="7"/>
      <c r="W1143" s="7"/>
      <c r="X1143" s="7"/>
      <c r="Y1143" s="7"/>
      <c r="Z1143" s="7"/>
      <c r="AA1143" s="7"/>
      <c r="AB1143" s="7"/>
      <c r="AC1143" s="7"/>
      <c r="AD1143" s="7"/>
    </row>
    <row r="1144" spans="1:30" s="5" customFormat="1" ht="23.25" customHeight="1">
      <c r="A1144" s="289"/>
      <c r="B1144" s="319" t="s">
        <v>148</v>
      </c>
      <c r="C1144" s="346"/>
      <c r="D1144" s="280"/>
      <c r="E1144" s="346"/>
      <c r="F1144" s="337"/>
      <c r="G1144" s="337"/>
      <c r="H1144" s="337"/>
      <c r="I1144" s="347"/>
      <c r="J1144" s="284"/>
      <c r="K1144" s="43"/>
      <c r="L1144" s="43"/>
      <c r="M1144" s="43"/>
      <c r="N1144" s="7"/>
      <c r="O1144" s="7"/>
      <c r="P1144" s="7"/>
      <c r="Q1144" s="7"/>
      <c r="R1144" s="7"/>
      <c r="S1144" s="7"/>
      <c r="T1144" s="7"/>
      <c r="U1144" s="7"/>
      <c r="V1144" s="7"/>
      <c r="W1144" s="7"/>
      <c r="X1144" s="7"/>
      <c r="Y1144" s="7"/>
      <c r="Z1144" s="7"/>
      <c r="AA1144" s="7"/>
      <c r="AB1144" s="7"/>
      <c r="AC1144" s="7"/>
      <c r="AD1144" s="7"/>
    </row>
    <row r="1145" spans="1:30" s="5" customFormat="1" ht="23.25" customHeight="1">
      <c r="A1145" s="278"/>
      <c r="B1145" s="279" t="s">
        <v>673</v>
      </c>
      <c r="C1145" s="280">
        <v>1</v>
      </c>
      <c r="D1145" s="280">
        <v>1</v>
      </c>
      <c r="E1145" s="280">
        <v>2</v>
      </c>
      <c r="F1145" s="282">
        <v>2.85</v>
      </c>
      <c r="G1145" s="282">
        <v>5.55</v>
      </c>
      <c r="H1145" s="282"/>
      <c r="I1145" s="283">
        <f>PRODUCT(C1145:H1145)</f>
        <v>31.64</v>
      </c>
      <c r="J1145" s="284"/>
      <c r="K1145" s="43"/>
      <c r="L1145" s="43"/>
      <c r="M1145" s="43"/>
      <c r="N1145" s="7"/>
      <c r="O1145" s="7"/>
      <c r="P1145" s="7"/>
      <c r="Q1145" s="7"/>
      <c r="R1145" s="7"/>
      <c r="S1145" s="7"/>
      <c r="T1145" s="7"/>
      <c r="U1145" s="7"/>
      <c r="V1145" s="7"/>
      <c r="W1145" s="7"/>
      <c r="X1145" s="7"/>
      <c r="Y1145" s="7"/>
      <c r="Z1145" s="7"/>
      <c r="AA1145" s="7"/>
      <c r="AB1145" s="7"/>
      <c r="AC1145" s="7"/>
      <c r="AD1145" s="7"/>
    </row>
    <row r="1146" spans="1:30" s="5" customFormat="1" ht="23.25" customHeight="1">
      <c r="A1146" s="278"/>
      <c r="B1146" s="279" t="s">
        <v>672</v>
      </c>
      <c r="C1146" s="280">
        <v>1</v>
      </c>
      <c r="D1146" s="280">
        <v>1</v>
      </c>
      <c r="E1146" s="280">
        <v>1</v>
      </c>
      <c r="F1146" s="282">
        <v>3.53</v>
      </c>
      <c r="G1146" s="282">
        <v>5.55</v>
      </c>
      <c r="H1146" s="282"/>
      <c r="I1146" s="283">
        <f>PRODUCT(C1146:H1146)</f>
        <v>19.59</v>
      </c>
      <c r="J1146" s="284"/>
      <c r="K1146" s="43"/>
      <c r="L1146" s="43"/>
      <c r="M1146" s="43"/>
      <c r="N1146" s="7"/>
      <c r="O1146" s="7"/>
      <c r="P1146" s="7"/>
      <c r="Q1146" s="7"/>
      <c r="R1146" s="7"/>
      <c r="S1146" s="7"/>
      <c r="T1146" s="7"/>
      <c r="U1146" s="7"/>
      <c r="V1146" s="7"/>
      <c r="W1146" s="7"/>
      <c r="X1146" s="7"/>
      <c r="Y1146" s="7"/>
      <c r="Z1146" s="7"/>
      <c r="AA1146" s="7"/>
      <c r="AB1146" s="7"/>
      <c r="AC1146" s="7"/>
      <c r="AD1146" s="7"/>
    </row>
    <row r="1147" spans="1:30" s="5" customFormat="1" ht="23.25" customHeight="1">
      <c r="A1147" s="278"/>
      <c r="B1147" s="279" t="s">
        <v>1312</v>
      </c>
      <c r="C1147" s="280">
        <v>1</v>
      </c>
      <c r="D1147" s="280">
        <v>1</v>
      </c>
      <c r="E1147" s="280">
        <v>20</v>
      </c>
      <c r="F1147" s="282">
        <v>2.4</v>
      </c>
      <c r="G1147" s="282">
        <v>0.93</v>
      </c>
      <c r="H1147" s="282"/>
      <c r="I1147" s="283">
        <f>PRODUCT(C1147:H1147)</f>
        <v>44.64</v>
      </c>
      <c r="J1147" s="284"/>
      <c r="K1147" s="43"/>
      <c r="L1147" s="43"/>
      <c r="M1147" s="43"/>
      <c r="N1147" s="7"/>
      <c r="O1147" s="7"/>
      <c r="P1147" s="7"/>
      <c r="Q1147" s="7"/>
      <c r="R1147" s="7"/>
      <c r="S1147" s="7"/>
      <c r="T1147" s="7"/>
      <c r="U1147" s="7"/>
      <c r="V1147" s="7"/>
      <c r="W1147" s="7"/>
      <c r="X1147" s="7"/>
      <c r="Y1147" s="7"/>
      <c r="Z1147" s="7"/>
      <c r="AA1147" s="7"/>
      <c r="AB1147" s="7"/>
      <c r="AC1147" s="7"/>
      <c r="AD1147" s="7"/>
    </row>
    <row r="1148" spans="1:30" s="5" customFormat="1" ht="23.25" customHeight="1">
      <c r="A1148" s="278"/>
      <c r="B1148" s="286" t="s">
        <v>871</v>
      </c>
      <c r="C1148" s="280"/>
      <c r="D1148" s="280"/>
      <c r="E1148" s="280"/>
      <c r="F1148" s="282"/>
      <c r="G1148" s="282"/>
      <c r="H1148" s="282"/>
      <c r="I1148" s="283"/>
      <c r="J1148" s="284"/>
      <c r="K1148" s="43"/>
      <c r="L1148" s="43"/>
      <c r="M1148" s="43"/>
      <c r="N1148" s="7"/>
      <c r="O1148" s="7"/>
      <c r="P1148" s="7"/>
      <c r="Q1148" s="7"/>
      <c r="R1148" s="7"/>
      <c r="S1148" s="7"/>
      <c r="T1148" s="7"/>
      <c r="U1148" s="7"/>
      <c r="V1148" s="7"/>
      <c r="W1148" s="7"/>
      <c r="X1148" s="7"/>
      <c r="Y1148" s="7"/>
      <c r="Z1148" s="7"/>
      <c r="AA1148" s="7"/>
      <c r="AB1148" s="7"/>
      <c r="AC1148" s="7"/>
      <c r="AD1148" s="7"/>
    </row>
    <row r="1149" spans="1:30" s="132" customFormat="1" ht="18" customHeight="1">
      <c r="A1149" s="307"/>
      <c r="B1149" s="319" t="s">
        <v>89</v>
      </c>
      <c r="C1149" s="321"/>
      <c r="D1149" s="307"/>
      <c r="E1149" s="307"/>
      <c r="F1149" s="308"/>
      <c r="G1149" s="308"/>
      <c r="H1149" s="308"/>
      <c r="I1149" s="323"/>
      <c r="J1149" s="307"/>
      <c r="K1149" s="94"/>
      <c r="L1149" s="94"/>
      <c r="M1149" s="94"/>
      <c r="N1149" s="94"/>
      <c r="O1149" s="94"/>
      <c r="P1149" s="94"/>
      <c r="Q1149" s="94"/>
      <c r="R1149" s="94"/>
      <c r="S1149" s="94"/>
      <c r="T1149" s="94"/>
      <c r="U1149" s="94"/>
      <c r="V1149" s="94"/>
      <c r="W1149" s="94"/>
      <c r="X1149" s="94"/>
      <c r="Y1149" s="94"/>
      <c r="Z1149" s="94"/>
      <c r="AA1149" s="94"/>
      <c r="AB1149" s="94"/>
      <c r="AC1149" s="94"/>
      <c r="AD1149" s="94"/>
    </row>
    <row r="1150" spans="1:30" s="132" customFormat="1" ht="18" customHeight="1">
      <c r="A1150" s="307"/>
      <c r="B1150" s="293" t="s">
        <v>671</v>
      </c>
      <c r="C1150" s="307">
        <v>100</v>
      </c>
      <c r="D1150" s="307">
        <v>1</v>
      </c>
      <c r="E1150" s="307">
        <v>1</v>
      </c>
      <c r="F1150" s="308">
        <v>1.2</v>
      </c>
      <c r="G1150" s="308">
        <v>0.3</v>
      </c>
      <c r="H1150" s="308"/>
      <c r="I1150" s="323">
        <f>PRODUCT(C1150:H1150)</f>
        <v>36</v>
      </c>
      <c r="J1150" s="307"/>
      <c r="K1150" s="94"/>
      <c r="L1150" s="94"/>
      <c r="M1150" s="94"/>
      <c r="N1150" s="94"/>
      <c r="O1150" s="94"/>
      <c r="P1150" s="94"/>
      <c r="Q1150" s="94"/>
      <c r="R1150" s="94"/>
      <c r="S1150" s="94"/>
      <c r="T1150" s="94"/>
      <c r="U1150" s="94"/>
      <c r="V1150" s="94"/>
      <c r="W1150" s="94"/>
      <c r="X1150" s="94"/>
      <c r="Y1150" s="94"/>
      <c r="Z1150" s="94"/>
      <c r="AA1150" s="94"/>
      <c r="AB1150" s="94"/>
      <c r="AC1150" s="94"/>
      <c r="AD1150" s="94"/>
    </row>
    <row r="1151" spans="1:30" s="132" customFormat="1" ht="18" customHeight="1">
      <c r="A1151" s="307"/>
      <c r="B1151" s="293" t="s">
        <v>667</v>
      </c>
      <c r="C1151" s="307">
        <v>100</v>
      </c>
      <c r="D1151" s="307">
        <v>1</v>
      </c>
      <c r="E1151" s="307">
        <v>1</v>
      </c>
      <c r="F1151" s="308">
        <v>0.85</v>
      </c>
      <c r="G1151" s="308">
        <v>0.3</v>
      </c>
      <c r="H1151" s="308"/>
      <c r="I1151" s="323">
        <f>PRODUCT(C1151:H1151)</f>
        <v>25.5</v>
      </c>
      <c r="J1151" s="307"/>
      <c r="K1151" s="94"/>
      <c r="L1151" s="94"/>
      <c r="M1151" s="94"/>
      <c r="N1151" s="94"/>
      <c r="O1151" s="94"/>
      <c r="P1151" s="94"/>
      <c r="Q1151" s="94"/>
      <c r="R1151" s="94"/>
      <c r="S1151" s="94"/>
      <c r="T1151" s="94"/>
      <c r="U1151" s="94"/>
      <c r="V1151" s="94"/>
      <c r="W1151" s="94"/>
      <c r="X1151" s="94"/>
      <c r="Y1151" s="94"/>
      <c r="Z1151" s="94"/>
      <c r="AA1151" s="94"/>
      <c r="AB1151" s="94"/>
      <c r="AC1151" s="94"/>
      <c r="AD1151" s="94"/>
    </row>
    <row r="1152" spans="1:30" s="132" customFormat="1" ht="18" customHeight="1">
      <c r="A1152" s="307"/>
      <c r="B1152" s="319" t="s">
        <v>670</v>
      </c>
      <c r="C1152" s="307"/>
      <c r="D1152" s="307"/>
      <c r="E1152" s="307"/>
      <c r="F1152" s="308"/>
      <c r="G1152" s="308"/>
      <c r="H1152" s="308"/>
      <c r="I1152" s="323"/>
      <c r="J1152" s="307"/>
      <c r="K1152" s="94"/>
      <c r="L1152" s="94"/>
      <c r="M1152" s="94"/>
      <c r="N1152" s="94"/>
      <c r="O1152" s="94"/>
      <c r="P1152" s="94"/>
      <c r="Q1152" s="94"/>
      <c r="R1152" s="94"/>
      <c r="S1152" s="94"/>
      <c r="T1152" s="94"/>
      <c r="U1152" s="94"/>
      <c r="V1152" s="94"/>
      <c r="W1152" s="94"/>
      <c r="X1152" s="94"/>
      <c r="Y1152" s="94"/>
      <c r="Z1152" s="94"/>
      <c r="AA1152" s="94"/>
      <c r="AB1152" s="94"/>
      <c r="AC1152" s="94"/>
      <c r="AD1152" s="94"/>
    </row>
    <row r="1153" spans="1:30" s="132" customFormat="1" ht="18" customHeight="1">
      <c r="A1153" s="307"/>
      <c r="B1153" s="293" t="s">
        <v>668</v>
      </c>
      <c r="C1153" s="307">
        <v>100</v>
      </c>
      <c r="D1153" s="307">
        <v>1</v>
      </c>
      <c r="E1153" s="307">
        <v>1</v>
      </c>
      <c r="F1153" s="308">
        <v>1.2</v>
      </c>
      <c r="G1153" s="308">
        <v>0.6</v>
      </c>
      <c r="H1153" s="308"/>
      <c r="I1153" s="323">
        <f>PRODUCT(C1153:H1153)</f>
        <v>72</v>
      </c>
      <c r="J1153" s="307"/>
      <c r="K1153" s="94"/>
      <c r="L1153" s="94"/>
      <c r="M1153" s="94"/>
      <c r="N1153" s="94"/>
      <c r="O1153" s="94"/>
      <c r="P1153" s="94"/>
      <c r="Q1153" s="94"/>
      <c r="R1153" s="94"/>
      <c r="S1153" s="94"/>
      <c r="T1153" s="94"/>
      <c r="U1153" s="94"/>
      <c r="V1153" s="94"/>
      <c r="W1153" s="94"/>
      <c r="X1153" s="94"/>
      <c r="Y1153" s="94"/>
      <c r="Z1153" s="94"/>
      <c r="AA1153" s="94"/>
      <c r="AB1153" s="94"/>
      <c r="AC1153" s="94"/>
      <c r="AD1153" s="94"/>
    </row>
    <row r="1154" spans="1:30" s="132" customFormat="1" ht="18" customHeight="1">
      <c r="A1154" s="307"/>
      <c r="B1154" s="293" t="s">
        <v>667</v>
      </c>
      <c r="C1154" s="307">
        <v>100</v>
      </c>
      <c r="D1154" s="307">
        <v>1</v>
      </c>
      <c r="E1154" s="307">
        <v>1</v>
      </c>
      <c r="F1154" s="308">
        <v>0.8</v>
      </c>
      <c r="G1154" s="308">
        <v>0.45</v>
      </c>
      <c r="H1154" s="308"/>
      <c r="I1154" s="323">
        <f>PRODUCT(C1154:H1154)</f>
        <v>36</v>
      </c>
      <c r="J1154" s="307"/>
      <c r="K1154" s="94"/>
      <c r="L1154" s="94"/>
      <c r="M1154" s="94"/>
      <c r="N1154" s="94"/>
      <c r="O1154" s="94"/>
      <c r="P1154" s="94"/>
      <c r="Q1154" s="94"/>
      <c r="R1154" s="94"/>
      <c r="S1154" s="94"/>
      <c r="T1154" s="94"/>
      <c r="U1154" s="94"/>
      <c r="V1154" s="94"/>
      <c r="W1154" s="94"/>
      <c r="X1154" s="94"/>
      <c r="Y1154" s="94"/>
      <c r="Z1154" s="94"/>
      <c r="AA1154" s="94"/>
      <c r="AB1154" s="94"/>
      <c r="AC1154" s="94"/>
      <c r="AD1154" s="94"/>
    </row>
    <row r="1155" spans="1:30" s="132" customFormat="1" ht="18" customHeight="1">
      <c r="A1155" s="307"/>
      <c r="B1155" s="319" t="s">
        <v>669</v>
      </c>
      <c r="C1155" s="307"/>
      <c r="D1155" s="307"/>
      <c r="E1155" s="307"/>
      <c r="F1155" s="308"/>
      <c r="G1155" s="308"/>
      <c r="H1155" s="308"/>
      <c r="I1155" s="323"/>
      <c r="J1155" s="307"/>
      <c r="K1155" s="94"/>
      <c r="L1155" s="94"/>
      <c r="M1155" s="94"/>
      <c r="N1155" s="94"/>
      <c r="O1155" s="94"/>
      <c r="P1155" s="94"/>
      <c r="Q1155" s="94"/>
      <c r="R1155" s="94"/>
      <c r="S1155" s="94"/>
      <c r="T1155" s="94"/>
      <c r="U1155" s="94"/>
      <c r="V1155" s="94"/>
      <c r="W1155" s="94"/>
      <c r="X1155" s="94"/>
      <c r="Y1155" s="94"/>
      <c r="Z1155" s="94"/>
      <c r="AA1155" s="94"/>
      <c r="AB1155" s="94"/>
      <c r="AC1155" s="94"/>
      <c r="AD1155" s="94"/>
    </row>
    <row r="1156" spans="1:30" s="132" customFormat="1" ht="18" customHeight="1">
      <c r="A1156" s="307"/>
      <c r="B1156" s="293" t="s">
        <v>668</v>
      </c>
      <c r="C1156" s="307">
        <v>100</v>
      </c>
      <c r="D1156" s="307">
        <v>1</v>
      </c>
      <c r="E1156" s="307">
        <v>1</v>
      </c>
      <c r="F1156" s="308">
        <v>1.2</v>
      </c>
      <c r="G1156" s="308">
        <v>0.6</v>
      </c>
      <c r="H1156" s="308"/>
      <c r="I1156" s="323">
        <f>PRODUCT(C1156:H1156)</f>
        <v>72</v>
      </c>
      <c r="J1156" s="307"/>
      <c r="K1156" s="94"/>
      <c r="L1156" s="94"/>
      <c r="M1156" s="94"/>
      <c r="N1156" s="94"/>
      <c r="O1156" s="94"/>
      <c r="P1156" s="94"/>
      <c r="Q1156" s="94"/>
      <c r="R1156" s="94"/>
      <c r="S1156" s="94"/>
      <c r="T1156" s="94"/>
      <c r="U1156" s="94"/>
      <c r="V1156" s="94"/>
      <c r="W1156" s="94"/>
      <c r="X1156" s="94"/>
      <c r="Y1156" s="94"/>
      <c r="Z1156" s="94"/>
      <c r="AA1156" s="94"/>
      <c r="AB1156" s="94"/>
      <c r="AC1156" s="94"/>
      <c r="AD1156" s="94"/>
    </row>
    <row r="1157" spans="1:30" s="132" customFormat="1" ht="18" customHeight="1">
      <c r="A1157" s="307"/>
      <c r="B1157" s="293" t="s">
        <v>667</v>
      </c>
      <c r="C1157" s="307">
        <v>100</v>
      </c>
      <c r="D1157" s="307">
        <v>1</v>
      </c>
      <c r="E1157" s="307">
        <v>1</v>
      </c>
      <c r="F1157" s="317">
        <v>0.72499999999999998</v>
      </c>
      <c r="G1157" s="308">
        <v>0.45</v>
      </c>
      <c r="H1157" s="308"/>
      <c r="I1157" s="323">
        <f>PRODUCT(C1157:H1157)</f>
        <v>32.630000000000003</v>
      </c>
      <c r="J1157" s="307"/>
      <c r="K1157" s="94"/>
      <c r="L1157" s="94"/>
      <c r="M1157" s="94"/>
      <c r="N1157" s="94">
        <f>0.775-0.05</f>
        <v>0.72499999999999998</v>
      </c>
      <c r="O1157" s="94"/>
      <c r="P1157" s="94"/>
      <c r="Q1157" s="94"/>
      <c r="R1157" s="94"/>
      <c r="S1157" s="94"/>
      <c r="T1157" s="94"/>
      <c r="U1157" s="94"/>
      <c r="V1157" s="94"/>
      <c r="W1157" s="94"/>
      <c r="X1157" s="94"/>
      <c r="Y1157" s="94"/>
      <c r="Z1157" s="94"/>
      <c r="AA1157" s="94"/>
      <c r="AB1157" s="94"/>
      <c r="AC1157" s="94"/>
      <c r="AD1157" s="94"/>
    </row>
    <row r="1158" spans="1:30" s="132" customFormat="1" ht="18" customHeight="1">
      <c r="A1158" s="307"/>
      <c r="B1158" s="319" t="s">
        <v>88</v>
      </c>
      <c r="C1158" s="307"/>
      <c r="D1158" s="307"/>
      <c r="E1158" s="307"/>
      <c r="F1158" s="308"/>
      <c r="G1158" s="308"/>
      <c r="H1158" s="308"/>
      <c r="I1158" s="323">
        <f>PRODUCT(C1158:H1158)</f>
        <v>0</v>
      </c>
      <c r="J1158" s="307"/>
      <c r="K1158" s="94"/>
      <c r="L1158" s="94"/>
      <c r="M1158" s="94"/>
      <c r="N1158" s="94"/>
      <c r="O1158" s="94"/>
      <c r="P1158" s="94"/>
      <c r="Q1158" s="94"/>
      <c r="R1158" s="94"/>
      <c r="S1158" s="94"/>
      <c r="T1158" s="94"/>
      <c r="U1158" s="94"/>
      <c r="V1158" s="94"/>
      <c r="W1158" s="94"/>
      <c r="X1158" s="94"/>
      <c r="Y1158" s="94"/>
      <c r="Z1158" s="94"/>
      <c r="AA1158" s="94"/>
      <c r="AB1158" s="94"/>
      <c r="AC1158" s="94"/>
      <c r="AD1158" s="94"/>
    </row>
    <row r="1159" spans="1:30" s="132" customFormat="1" ht="18" customHeight="1">
      <c r="A1159" s="307"/>
      <c r="B1159" s="293" t="s">
        <v>667</v>
      </c>
      <c r="C1159" s="307">
        <v>100</v>
      </c>
      <c r="D1159" s="307">
        <v>2</v>
      </c>
      <c r="E1159" s="307">
        <v>1</v>
      </c>
      <c r="F1159" s="308">
        <v>0.84</v>
      </c>
      <c r="G1159" s="308">
        <v>0.45</v>
      </c>
      <c r="H1159" s="308"/>
      <c r="I1159" s="323">
        <f>PRODUCT(C1159:H1159)</f>
        <v>75.599999999999994</v>
      </c>
      <c r="J1159" s="307"/>
      <c r="K1159" s="94"/>
      <c r="L1159" s="94"/>
      <c r="M1159" s="94"/>
      <c r="N1159" s="94">
        <f>0.89-0.05</f>
        <v>0.84</v>
      </c>
      <c r="O1159" s="94"/>
      <c r="P1159" s="94"/>
      <c r="Q1159" s="94"/>
      <c r="R1159" s="94"/>
      <c r="S1159" s="94"/>
      <c r="T1159" s="94"/>
      <c r="U1159" s="94"/>
      <c r="V1159" s="94"/>
      <c r="W1159" s="94"/>
      <c r="X1159" s="94"/>
      <c r="Y1159" s="94"/>
      <c r="Z1159" s="94"/>
      <c r="AA1159" s="94"/>
      <c r="AB1159" s="94"/>
      <c r="AC1159" s="94"/>
      <c r="AD1159" s="94"/>
    </row>
    <row r="1160" spans="1:30" s="132" customFormat="1" ht="18" customHeight="1">
      <c r="A1160" s="307"/>
      <c r="B1160" s="319" t="s">
        <v>666</v>
      </c>
      <c r="C1160" s="307"/>
      <c r="D1160" s="307"/>
      <c r="E1160" s="307"/>
      <c r="F1160" s="308"/>
      <c r="G1160" s="308"/>
      <c r="H1160" s="308"/>
      <c r="I1160" s="323"/>
      <c r="J1160" s="307"/>
      <c r="K1160" s="94"/>
      <c r="L1160" s="94"/>
      <c r="M1160" s="94"/>
      <c r="N1160" s="94"/>
      <c r="O1160" s="94"/>
      <c r="P1160" s="94"/>
      <c r="Q1160" s="94"/>
      <c r="R1160" s="94"/>
      <c r="S1160" s="94"/>
      <c r="T1160" s="94"/>
      <c r="U1160" s="94"/>
      <c r="V1160" s="94"/>
      <c r="W1160" s="94"/>
      <c r="X1160" s="94"/>
      <c r="Y1160" s="94"/>
      <c r="Z1160" s="94"/>
      <c r="AA1160" s="94"/>
      <c r="AB1160" s="94"/>
      <c r="AC1160" s="94"/>
      <c r="AD1160" s="94"/>
    </row>
    <row r="1161" spans="1:30" s="132" customFormat="1" ht="18" customHeight="1">
      <c r="A1161" s="307"/>
      <c r="B1161" s="293" t="s">
        <v>665</v>
      </c>
      <c r="C1161" s="307">
        <v>100</v>
      </c>
      <c r="D1161" s="307">
        <v>1</v>
      </c>
      <c r="E1161" s="307">
        <v>1</v>
      </c>
      <c r="F1161" s="308">
        <v>0.9</v>
      </c>
      <c r="G1161" s="308">
        <v>0.3</v>
      </c>
      <c r="H1161" s="308"/>
      <c r="I1161" s="323">
        <f>PRODUCT(C1161:H1161)</f>
        <v>27</v>
      </c>
      <c r="J1161" s="307"/>
      <c r="K1161" s="94"/>
      <c r="L1161" s="94"/>
      <c r="M1161" s="94"/>
      <c r="N1161" s="94"/>
      <c r="O1161" s="94"/>
      <c r="P1161" s="94"/>
      <c r="Q1161" s="94"/>
      <c r="R1161" s="94"/>
      <c r="S1161" s="94"/>
      <c r="T1161" s="94"/>
      <c r="U1161" s="94"/>
      <c r="V1161" s="94"/>
      <c r="W1161" s="94"/>
      <c r="X1161" s="94"/>
      <c r="Y1161" s="94"/>
      <c r="Z1161" s="94"/>
      <c r="AA1161" s="94"/>
      <c r="AB1161" s="94"/>
      <c r="AC1161" s="94"/>
      <c r="AD1161" s="94"/>
    </row>
    <row r="1162" spans="1:30" s="5" customFormat="1" ht="23.25" customHeight="1">
      <c r="A1162" s="289"/>
      <c r="B1162" s="342"/>
      <c r="C1162" s="346"/>
      <c r="D1162" s="280"/>
      <c r="E1162" s="346"/>
      <c r="F1162" s="337"/>
      <c r="G1162" s="337"/>
      <c r="H1162" s="337"/>
      <c r="I1162" s="339">
        <f>SUM(I1145:I1161)</f>
        <v>472.6</v>
      </c>
      <c r="J1162" s="284"/>
      <c r="K1162" s="43"/>
      <c r="L1162" s="43"/>
      <c r="M1162" s="43"/>
      <c r="N1162" s="7"/>
      <c r="O1162" s="7"/>
      <c r="P1162" s="7"/>
      <c r="Q1162" s="7"/>
      <c r="R1162" s="7"/>
      <c r="S1162" s="7"/>
      <c r="T1162" s="7"/>
      <c r="U1162" s="7"/>
      <c r="V1162" s="7"/>
      <c r="W1162" s="7"/>
      <c r="X1162" s="7"/>
      <c r="Y1162" s="7"/>
      <c r="Z1162" s="7"/>
      <c r="AA1162" s="7"/>
      <c r="AB1162" s="7"/>
      <c r="AC1162" s="7"/>
      <c r="AD1162" s="7"/>
    </row>
    <row r="1163" spans="1:30" s="5" customFormat="1" ht="23.25" customHeight="1">
      <c r="A1163" s="289"/>
      <c r="B1163" s="342"/>
      <c r="C1163" s="346"/>
      <c r="D1163" s="280"/>
      <c r="E1163" s="346"/>
      <c r="F1163" s="337"/>
      <c r="G1163" s="337"/>
      <c r="H1163" s="404" t="s">
        <v>55</v>
      </c>
      <c r="I1163" s="416">
        <f>ROUNDUP(I1162,1)</f>
        <v>472.6</v>
      </c>
      <c r="J1163" s="343" t="s">
        <v>4</v>
      </c>
      <c r="K1163" s="44"/>
      <c r="L1163" s="44"/>
      <c r="M1163" s="44"/>
      <c r="N1163" s="7"/>
      <c r="O1163" s="7"/>
      <c r="P1163" s="7"/>
      <c r="Q1163" s="7"/>
      <c r="R1163" s="7"/>
      <c r="S1163" s="7"/>
      <c r="T1163" s="7"/>
      <c r="U1163" s="7"/>
      <c r="V1163" s="7"/>
      <c r="W1163" s="7"/>
      <c r="X1163" s="7"/>
      <c r="Y1163" s="7"/>
      <c r="Z1163" s="7"/>
      <c r="AA1163" s="7"/>
      <c r="AB1163" s="7"/>
      <c r="AC1163" s="7"/>
      <c r="AD1163" s="7"/>
    </row>
    <row r="1164" spans="1:30" s="5" customFormat="1" ht="23.25" customHeight="1">
      <c r="A1164" s="289"/>
      <c r="B1164" s="456" t="s">
        <v>29</v>
      </c>
      <c r="C1164" s="346"/>
      <c r="D1164" s="280"/>
      <c r="E1164" s="346"/>
      <c r="F1164" s="337"/>
      <c r="G1164" s="337"/>
      <c r="H1164" s="404"/>
      <c r="I1164" s="416"/>
      <c r="J1164" s="343"/>
      <c r="K1164" s="44"/>
      <c r="L1164" s="44"/>
      <c r="M1164" s="44"/>
      <c r="N1164" s="7"/>
      <c r="O1164" s="7"/>
      <c r="P1164" s="7"/>
      <c r="Q1164" s="7"/>
      <c r="R1164" s="7"/>
      <c r="S1164" s="7"/>
      <c r="T1164" s="7"/>
      <c r="U1164" s="7"/>
      <c r="V1164" s="7"/>
      <c r="W1164" s="7"/>
      <c r="X1164" s="7"/>
      <c r="Y1164" s="7"/>
      <c r="Z1164" s="7"/>
      <c r="AA1164" s="7"/>
      <c r="AB1164" s="7"/>
      <c r="AC1164" s="7"/>
      <c r="AD1164" s="7"/>
    </row>
    <row r="1165" spans="1:30" s="4" customFormat="1" ht="23.25" customHeight="1">
      <c r="A1165" s="505"/>
      <c r="B1165" s="293" t="s">
        <v>664</v>
      </c>
      <c r="C1165" s="294">
        <v>1</v>
      </c>
      <c r="D1165" s="280">
        <v>2</v>
      </c>
      <c r="E1165" s="294">
        <v>2</v>
      </c>
      <c r="F1165" s="338">
        <v>13.62</v>
      </c>
      <c r="G1165" s="338">
        <v>2.59</v>
      </c>
      <c r="H1165" s="338"/>
      <c r="I1165" s="347">
        <f>PRODUCT(C1165:H1165)</f>
        <v>141.1</v>
      </c>
      <c r="J1165" s="506"/>
      <c r="K1165" s="127"/>
      <c r="L1165" s="127"/>
      <c r="M1165" s="127"/>
      <c r="N1165" s="126"/>
      <c r="O1165" s="126"/>
      <c r="P1165" s="126"/>
      <c r="Q1165" s="126"/>
      <c r="R1165" s="126"/>
      <c r="S1165" s="126"/>
      <c r="T1165" s="126"/>
      <c r="U1165" s="126"/>
      <c r="V1165" s="126"/>
      <c r="W1165" s="126"/>
      <c r="X1165" s="126"/>
      <c r="Y1165" s="126"/>
      <c r="Z1165" s="126"/>
      <c r="AA1165" s="126"/>
      <c r="AB1165" s="126"/>
      <c r="AC1165" s="126"/>
      <c r="AD1165" s="126"/>
    </row>
    <row r="1166" spans="1:30" s="4" customFormat="1" ht="23.25" customHeight="1">
      <c r="A1166" s="505"/>
      <c r="B1166" s="293" t="s">
        <v>663</v>
      </c>
      <c r="C1166" s="294">
        <v>1</v>
      </c>
      <c r="D1166" s="280">
        <v>2</v>
      </c>
      <c r="E1166" s="294">
        <v>2</v>
      </c>
      <c r="F1166" s="338">
        <v>14.62</v>
      </c>
      <c r="G1166" s="338">
        <v>0.5</v>
      </c>
      <c r="H1166" s="338"/>
      <c r="I1166" s="347">
        <f>PRODUCT(C1166:H1166)</f>
        <v>29.24</v>
      </c>
      <c r="J1166" s="506"/>
      <c r="K1166" s="127"/>
      <c r="L1166" s="127"/>
      <c r="M1166" s="127"/>
      <c r="N1166" s="126"/>
      <c r="O1166" s="126"/>
      <c r="P1166" s="126"/>
      <c r="Q1166" s="126"/>
      <c r="R1166" s="126"/>
      <c r="S1166" s="126"/>
      <c r="T1166" s="126"/>
      <c r="U1166" s="126"/>
      <c r="V1166" s="126"/>
      <c r="W1166" s="126"/>
      <c r="X1166" s="126"/>
      <c r="Y1166" s="126"/>
      <c r="Z1166" s="126"/>
      <c r="AA1166" s="126"/>
      <c r="AB1166" s="126"/>
      <c r="AC1166" s="126"/>
      <c r="AD1166" s="126"/>
    </row>
    <row r="1167" spans="1:30" s="4" customFormat="1" ht="23.25" customHeight="1">
      <c r="A1167" s="505"/>
      <c r="B1167" s="293" t="s">
        <v>663</v>
      </c>
      <c r="C1167" s="294">
        <v>1</v>
      </c>
      <c r="D1167" s="280">
        <v>2</v>
      </c>
      <c r="E1167" s="294">
        <v>2</v>
      </c>
      <c r="F1167" s="507">
        <v>4.3899999999999997</v>
      </c>
      <c r="G1167" s="338">
        <v>0.6</v>
      </c>
      <c r="H1167" s="338"/>
      <c r="I1167" s="347">
        <f>PRODUCT(C1167:H1167)</f>
        <v>10.54</v>
      </c>
      <c r="J1167" s="506"/>
      <c r="K1167" s="127"/>
      <c r="L1167" s="127"/>
      <c r="M1167" s="127"/>
      <c r="N1167" s="126"/>
      <c r="O1167" s="126"/>
      <c r="P1167" s="126"/>
      <c r="Q1167" s="126"/>
      <c r="R1167" s="126"/>
      <c r="S1167" s="126"/>
      <c r="T1167" s="126"/>
      <c r="U1167" s="126"/>
      <c r="V1167" s="126"/>
      <c r="W1167" s="126"/>
      <c r="X1167" s="126"/>
      <c r="Y1167" s="126"/>
      <c r="Z1167" s="126"/>
      <c r="AA1167" s="126"/>
      <c r="AB1167" s="126"/>
      <c r="AC1167" s="126"/>
      <c r="AD1167" s="126"/>
    </row>
    <row r="1168" spans="1:30" s="4" customFormat="1" ht="23.25" customHeight="1">
      <c r="A1168" s="505"/>
      <c r="B1168" s="508"/>
      <c r="C1168" s="509"/>
      <c r="D1168" s="475"/>
      <c r="E1168" s="509"/>
      <c r="F1168" s="510"/>
      <c r="G1168" s="510"/>
      <c r="H1168" s="510"/>
      <c r="I1168" s="511">
        <f>SUM(I1165:I1167)</f>
        <v>180.88</v>
      </c>
      <c r="J1168" s="506"/>
      <c r="K1168" s="127"/>
      <c r="L1168" s="127"/>
      <c r="M1168" s="127"/>
      <c r="N1168" s="126"/>
      <c r="O1168" s="126"/>
      <c r="P1168" s="126"/>
      <c r="Q1168" s="126"/>
      <c r="R1168" s="126"/>
      <c r="S1168" s="126"/>
      <c r="T1168" s="126"/>
      <c r="U1168" s="126"/>
      <c r="V1168" s="126"/>
      <c r="W1168" s="126"/>
      <c r="X1168" s="126"/>
      <c r="Y1168" s="126"/>
      <c r="Z1168" s="126"/>
      <c r="AA1168" s="126"/>
      <c r="AB1168" s="126"/>
      <c r="AC1168" s="126"/>
      <c r="AD1168" s="126"/>
    </row>
    <row r="1169" spans="1:30" s="4" customFormat="1" ht="23.25" customHeight="1">
      <c r="A1169" s="505"/>
      <c r="B1169" s="508"/>
      <c r="C1169" s="509"/>
      <c r="D1169" s="475"/>
      <c r="E1169" s="509"/>
      <c r="F1169" s="510"/>
      <c r="G1169" s="510"/>
      <c r="H1169" s="404" t="s">
        <v>55</v>
      </c>
      <c r="I1169" s="416">
        <f>ROUNDUP(I1168,1)</f>
        <v>180.9</v>
      </c>
      <c r="J1169" s="343" t="s">
        <v>4</v>
      </c>
      <c r="K1169" s="127"/>
      <c r="L1169" s="127"/>
      <c r="M1169" s="127"/>
      <c r="N1169" s="126"/>
      <c r="O1169" s="126"/>
      <c r="P1169" s="126"/>
      <c r="Q1169" s="126"/>
      <c r="R1169" s="126"/>
      <c r="S1169" s="126"/>
      <c r="T1169" s="126"/>
      <c r="U1169" s="126"/>
      <c r="V1169" s="126"/>
      <c r="W1169" s="126"/>
      <c r="X1169" s="126"/>
      <c r="Y1169" s="126"/>
      <c r="Z1169" s="126"/>
      <c r="AA1169" s="126"/>
      <c r="AB1169" s="126"/>
      <c r="AC1169" s="126"/>
      <c r="AD1169" s="126"/>
    </row>
    <row r="1170" spans="1:30" s="4" customFormat="1" ht="23.25" customHeight="1">
      <c r="A1170" s="505"/>
      <c r="B1170" s="508"/>
      <c r="C1170" s="509"/>
      <c r="D1170" s="475"/>
      <c r="E1170" s="509"/>
      <c r="F1170" s="510"/>
      <c r="G1170" s="510"/>
      <c r="H1170" s="510"/>
      <c r="I1170" s="511"/>
      <c r="J1170" s="506"/>
      <c r="K1170" s="127"/>
      <c r="L1170" s="127"/>
      <c r="M1170" s="127"/>
      <c r="N1170" s="126"/>
      <c r="O1170" s="126"/>
      <c r="P1170" s="126"/>
      <c r="Q1170" s="126"/>
      <c r="R1170" s="126"/>
      <c r="S1170" s="126"/>
      <c r="T1170" s="126"/>
      <c r="U1170" s="126"/>
      <c r="V1170" s="126"/>
      <c r="W1170" s="126"/>
      <c r="X1170" s="126"/>
      <c r="Y1170" s="126"/>
      <c r="Z1170" s="126"/>
      <c r="AA1170" s="126"/>
      <c r="AB1170" s="126"/>
      <c r="AC1170" s="126"/>
      <c r="AD1170" s="126"/>
    </row>
    <row r="1171" spans="1:30" s="5" customFormat="1" ht="23.25" customHeight="1">
      <c r="A1171" s="289"/>
      <c r="B1171" s="319" t="s">
        <v>52</v>
      </c>
      <c r="C1171" s="346"/>
      <c r="D1171" s="280"/>
      <c r="E1171" s="346"/>
      <c r="F1171" s="337"/>
      <c r="G1171" s="337"/>
      <c r="H1171" s="337"/>
      <c r="I1171" s="347"/>
      <c r="J1171" s="284"/>
      <c r="K1171" s="43"/>
      <c r="L1171" s="43"/>
      <c r="M1171" s="43"/>
      <c r="N1171" s="7"/>
      <c r="O1171" s="7"/>
      <c r="P1171" s="7"/>
      <c r="Q1171" s="7"/>
      <c r="R1171" s="7"/>
      <c r="S1171" s="7"/>
      <c r="T1171" s="7"/>
      <c r="U1171" s="7"/>
      <c r="V1171" s="7"/>
      <c r="W1171" s="7"/>
      <c r="X1171" s="7"/>
      <c r="Y1171" s="7"/>
      <c r="Z1171" s="7"/>
      <c r="AA1171" s="7"/>
      <c r="AB1171" s="7"/>
      <c r="AC1171" s="7"/>
      <c r="AD1171" s="7"/>
    </row>
    <row r="1172" spans="1:30" s="30" customFormat="1" ht="19.5" customHeight="1">
      <c r="A1172" s="294"/>
      <c r="B1172" s="293" t="s">
        <v>145</v>
      </c>
      <c r="C1172" s="294">
        <v>1</v>
      </c>
      <c r="D1172" s="294">
        <v>10</v>
      </c>
      <c r="E1172" s="294">
        <v>2</v>
      </c>
      <c r="F1172" s="295">
        <v>1.9</v>
      </c>
      <c r="G1172" s="300">
        <v>2.1</v>
      </c>
      <c r="H1172" s="295"/>
      <c r="I1172" s="308">
        <f t="shared" ref="I1172:I1182" si="45">PRODUCT(C1172:H1172)</f>
        <v>79.8</v>
      </c>
      <c r="J1172" s="295"/>
      <c r="K1172" s="29"/>
      <c r="L1172" s="29"/>
      <c r="M1172" s="29"/>
      <c r="N1172" s="31"/>
      <c r="O1172" s="31"/>
    </row>
    <row r="1173" spans="1:30" s="30" customFormat="1" ht="19.5" customHeight="1">
      <c r="A1173" s="294"/>
      <c r="B1173" s="293" t="s">
        <v>891</v>
      </c>
      <c r="C1173" s="294">
        <v>1</v>
      </c>
      <c r="D1173" s="294">
        <v>1</v>
      </c>
      <c r="E1173" s="294">
        <v>2</v>
      </c>
      <c r="F1173" s="295">
        <v>4.2</v>
      </c>
      <c r="G1173" s="300">
        <v>2.85</v>
      </c>
      <c r="H1173" s="295"/>
      <c r="I1173" s="308">
        <f t="shared" si="45"/>
        <v>23.94</v>
      </c>
      <c r="J1173" s="295"/>
      <c r="K1173" s="29"/>
      <c r="L1173" s="29"/>
      <c r="M1173" s="29"/>
      <c r="N1173" s="31"/>
      <c r="O1173" s="31"/>
    </row>
    <row r="1174" spans="1:30" s="30" customFormat="1" ht="19.5" customHeight="1">
      <c r="A1174" s="294"/>
      <c r="B1174" s="293" t="s">
        <v>892</v>
      </c>
      <c r="C1174" s="294">
        <v>1</v>
      </c>
      <c r="D1174" s="294">
        <v>10</v>
      </c>
      <c r="E1174" s="294">
        <v>2</v>
      </c>
      <c r="F1174" s="295">
        <v>1.1200000000000001</v>
      </c>
      <c r="G1174" s="300">
        <v>2.85</v>
      </c>
      <c r="H1174" s="295"/>
      <c r="I1174" s="308">
        <f t="shared" si="45"/>
        <v>63.84</v>
      </c>
      <c r="J1174" s="295"/>
      <c r="K1174" s="29"/>
      <c r="L1174" s="29"/>
      <c r="M1174" s="29"/>
      <c r="N1174" s="31"/>
      <c r="O1174" s="31"/>
    </row>
    <row r="1175" spans="1:30" s="30" customFormat="1" ht="19.5" customHeight="1">
      <c r="A1175" s="294"/>
      <c r="B1175" s="293" t="s">
        <v>893</v>
      </c>
      <c r="C1175" s="294">
        <v>1</v>
      </c>
      <c r="D1175" s="294">
        <v>10</v>
      </c>
      <c r="E1175" s="294">
        <v>2</v>
      </c>
      <c r="F1175" s="295">
        <v>2.0299999999999998</v>
      </c>
      <c r="G1175" s="300">
        <v>1.8</v>
      </c>
      <c r="H1175" s="295"/>
      <c r="I1175" s="308">
        <f t="shared" si="45"/>
        <v>73.08</v>
      </c>
      <c r="J1175" s="295"/>
      <c r="K1175" s="29"/>
      <c r="L1175" s="29"/>
      <c r="M1175" s="29"/>
      <c r="N1175" s="31"/>
      <c r="O1175" s="31"/>
    </row>
    <row r="1176" spans="1:30" s="30" customFormat="1" ht="19.5" customHeight="1">
      <c r="A1176" s="294"/>
      <c r="B1176" s="293" t="s">
        <v>893</v>
      </c>
      <c r="C1176" s="294">
        <v>1</v>
      </c>
      <c r="D1176" s="294">
        <v>10</v>
      </c>
      <c r="E1176" s="294">
        <v>2</v>
      </c>
      <c r="F1176" s="295">
        <v>0.94</v>
      </c>
      <c r="G1176" s="300">
        <v>0.6</v>
      </c>
      <c r="H1176" s="295"/>
      <c r="I1176" s="308">
        <f t="shared" si="45"/>
        <v>11.28</v>
      </c>
      <c r="J1176" s="295"/>
      <c r="K1176" s="29"/>
      <c r="L1176" s="29"/>
      <c r="M1176" s="29"/>
      <c r="N1176" s="31"/>
      <c r="O1176" s="31"/>
    </row>
    <row r="1177" spans="1:30" s="30" customFormat="1" ht="19.5" customHeight="1">
      <c r="A1177" s="294"/>
      <c r="B1177" s="293" t="s">
        <v>895</v>
      </c>
      <c r="C1177" s="294">
        <v>1</v>
      </c>
      <c r="D1177" s="294">
        <v>10</v>
      </c>
      <c r="E1177" s="294">
        <v>1</v>
      </c>
      <c r="F1177" s="295">
        <v>6.06</v>
      </c>
      <c r="G1177" s="300">
        <v>4.9850000000000003</v>
      </c>
      <c r="H1177" s="295"/>
      <c r="I1177" s="308">
        <f t="shared" si="45"/>
        <v>302.08999999999997</v>
      </c>
      <c r="J1177" s="295"/>
      <c r="K1177" s="29"/>
      <c r="L1177" s="29"/>
      <c r="M1177" s="29"/>
      <c r="N1177" s="31"/>
      <c r="O1177" s="31"/>
    </row>
    <row r="1178" spans="1:30" s="30" customFormat="1" ht="19.5" customHeight="1">
      <c r="A1178" s="294"/>
      <c r="B1178" s="293" t="s">
        <v>519</v>
      </c>
      <c r="C1178" s="294">
        <v>1</v>
      </c>
      <c r="D1178" s="294">
        <v>10</v>
      </c>
      <c r="E1178" s="294">
        <v>1</v>
      </c>
      <c r="F1178" s="295">
        <v>26.71</v>
      </c>
      <c r="G1178" s="300">
        <v>1.8</v>
      </c>
      <c r="H1178" s="295"/>
      <c r="I1178" s="308">
        <f t="shared" si="45"/>
        <v>480.78</v>
      </c>
      <c r="J1178" s="295"/>
      <c r="K1178" s="29"/>
      <c r="L1178" s="29"/>
      <c r="M1178" s="29"/>
      <c r="N1178" s="31"/>
      <c r="O1178" s="31"/>
    </row>
    <row r="1179" spans="1:30" s="30" customFormat="1" ht="19.5" customHeight="1">
      <c r="A1179" s="294"/>
      <c r="B1179" s="293" t="s">
        <v>992</v>
      </c>
      <c r="C1179" s="294">
        <v>1</v>
      </c>
      <c r="D1179" s="294">
        <v>1</v>
      </c>
      <c r="E1179" s="294">
        <v>1</v>
      </c>
      <c r="F1179" s="295">
        <v>4.2</v>
      </c>
      <c r="G1179" s="300">
        <v>3.53</v>
      </c>
      <c r="H1179" s="295"/>
      <c r="I1179" s="308">
        <f t="shared" si="45"/>
        <v>14.83</v>
      </c>
      <c r="J1179" s="295"/>
      <c r="K1179" s="29"/>
      <c r="L1179" s="29"/>
      <c r="M1179" s="29"/>
      <c r="N1179" s="31"/>
      <c r="O1179" s="31"/>
    </row>
    <row r="1180" spans="1:30" s="30" customFormat="1" ht="19.5" customHeight="1">
      <c r="A1180" s="294"/>
      <c r="B1180" s="293" t="s">
        <v>83</v>
      </c>
      <c r="C1180" s="294">
        <v>1</v>
      </c>
      <c r="D1180" s="294">
        <v>10</v>
      </c>
      <c r="E1180" s="294">
        <v>1</v>
      </c>
      <c r="F1180" s="295">
        <v>3.53</v>
      </c>
      <c r="G1180" s="300">
        <v>1.8</v>
      </c>
      <c r="H1180" s="295"/>
      <c r="I1180" s="308">
        <f t="shared" si="45"/>
        <v>63.54</v>
      </c>
      <c r="J1180" s="295"/>
      <c r="K1180" s="29"/>
      <c r="L1180" s="29"/>
      <c r="M1180" s="29"/>
      <c r="N1180" s="31"/>
      <c r="O1180" s="31"/>
    </row>
    <row r="1181" spans="1:30" s="30" customFormat="1" ht="19.5" customHeight="1">
      <c r="A1181" s="294"/>
      <c r="B1181" s="293" t="s">
        <v>118</v>
      </c>
      <c r="C1181" s="294">
        <v>1</v>
      </c>
      <c r="D1181" s="294">
        <v>10</v>
      </c>
      <c r="E1181" s="294">
        <v>1</v>
      </c>
      <c r="F1181" s="295">
        <v>2.2999999999999998</v>
      </c>
      <c r="G1181" s="300">
        <v>2.97</v>
      </c>
      <c r="H1181" s="295"/>
      <c r="I1181" s="308">
        <f t="shared" si="45"/>
        <v>68.31</v>
      </c>
      <c r="J1181" s="295"/>
      <c r="K1181" s="29"/>
      <c r="L1181" s="29"/>
      <c r="M1181" s="29"/>
      <c r="N1181" s="31"/>
      <c r="O1181" s="31"/>
    </row>
    <row r="1182" spans="1:30" s="30" customFormat="1" ht="19.5" customHeight="1">
      <c r="A1182" s="294"/>
      <c r="B1182" s="293" t="s">
        <v>141</v>
      </c>
      <c r="C1182" s="307">
        <v>1</v>
      </c>
      <c r="D1182" s="294">
        <v>10</v>
      </c>
      <c r="E1182" s="307">
        <v>10</v>
      </c>
      <c r="F1182" s="317">
        <v>2.0150000000000001</v>
      </c>
      <c r="G1182" s="317">
        <v>0.45</v>
      </c>
      <c r="H1182" s="300"/>
      <c r="I1182" s="308">
        <f t="shared" si="45"/>
        <v>90.68</v>
      </c>
      <c r="J1182" s="295"/>
      <c r="K1182" s="29"/>
      <c r="L1182" s="29"/>
      <c r="M1182" s="29"/>
      <c r="N1182" s="31"/>
      <c r="O1182" s="31"/>
    </row>
    <row r="1183" spans="1:30" s="27" customFormat="1" ht="23.25">
      <c r="A1183" s="294"/>
      <c r="B1183" s="319" t="s">
        <v>137</v>
      </c>
      <c r="C1183" s="294"/>
      <c r="D1183" s="294"/>
      <c r="E1183" s="294"/>
      <c r="F1183" s="300"/>
      <c r="G1183" s="295"/>
      <c r="H1183" s="300"/>
      <c r="I1183" s="308"/>
      <c r="J1183" s="295"/>
      <c r="K1183" s="26"/>
      <c r="L1183" s="26"/>
      <c r="M1183" s="26"/>
      <c r="N1183" s="28"/>
      <c r="O1183" s="28"/>
    </row>
    <row r="1184" spans="1:30" s="24" customFormat="1" ht="18.75" customHeight="1">
      <c r="A1184" s="294"/>
      <c r="B1184" s="319" t="s">
        <v>136</v>
      </c>
      <c r="C1184" s="294">
        <v>1</v>
      </c>
      <c r="D1184" s="294">
        <v>2</v>
      </c>
      <c r="E1184" s="294">
        <v>10</v>
      </c>
      <c r="F1184" s="300">
        <v>1.35</v>
      </c>
      <c r="G1184" s="295">
        <v>0.3</v>
      </c>
      <c r="H1184" s="300"/>
      <c r="I1184" s="308">
        <f t="shared" ref="I1184:I1216" si="46">PRODUCT(C1184:H1184)</f>
        <v>8.1</v>
      </c>
      <c r="J1184" s="295"/>
      <c r="K1184" s="26"/>
      <c r="L1184" s="26"/>
      <c r="M1184" s="26"/>
      <c r="N1184" s="25"/>
      <c r="O1184" s="25"/>
    </row>
    <row r="1185" spans="1:15" s="24" customFormat="1" ht="20.25" customHeight="1">
      <c r="A1185" s="294"/>
      <c r="B1185" s="293" t="s">
        <v>128</v>
      </c>
      <c r="C1185" s="294">
        <v>1</v>
      </c>
      <c r="D1185" s="294">
        <v>2</v>
      </c>
      <c r="E1185" s="294">
        <v>9</v>
      </c>
      <c r="F1185" s="300">
        <v>1.35</v>
      </c>
      <c r="G1185" s="295"/>
      <c r="H1185" s="300">
        <v>0.15</v>
      </c>
      <c r="I1185" s="308">
        <f t="shared" si="46"/>
        <v>3.65</v>
      </c>
      <c r="J1185" s="295"/>
      <c r="K1185" s="26"/>
      <c r="L1185" s="26"/>
      <c r="M1185" s="26"/>
      <c r="N1185" s="25"/>
      <c r="O1185" s="25"/>
    </row>
    <row r="1186" spans="1:15" s="24" customFormat="1" ht="18.75" customHeight="1">
      <c r="A1186" s="294"/>
      <c r="B1186" s="319" t="s">
        <v>136</v>
      </c>
      <c r="C1186" s="294">
        <v>1</v>
      </c>
      <c r="D1186" s="294">
        <v>1</v>
      </c>
      <c r="E1186" s="294">
        <v>10</v>
      </c>
      <c r="F1186" s="300">
        <v>1.5</v>
      </c>
      <c r="G1186" s="295">
        <v>0.3</v>
      </c>
      <c r="H1186" s="300"/>
      <c r="I1186" s="308">
        <f>PRODUCT(C1186:H1186)</f>
        <v>4.5</v>
      </c>
      <c r="J1186" s="295"/>
      <c r="K1186" s="26"/>
      <c r="L1186" s="26"/>
      <c r="M1186" s="26"/>
      <c r="N1186" s="25"/>
      <c r="O1186" s="25"/>
    </row>
    <row r="1187" spans="1:15" s="24" customFormat="1" ht="20.25" customHeight="1">
      <c r="A1187" s="294"/>
      <c r="B1187" s="293" t="s">
        <v>128</v>
      </c>
      <c r="C1187" s="294">
        <v>1</v>
      </c>
      <c r="D1187" s="294">
        <v>1</v>
      </c>
      <c r="E1187" s="294">
        <v>9</v>
      </c>
      <c r="F1187" s="300">
        <v>1.5</v>
      </c>
      <c r="G1187" s="295"/>
      <c r="H1187" s="300">
        <v>0.15</v>
      </c>
      <c r="I1187" s="308">
        <f>PRODUCT(C1187:H1187)</f>
        <v>2.0299999999999998</v>
      </c>
      <c r="J1187" s="295"/>
      <c r="K1187" s="26"/>
      <c r="L1187" s="26"/>
      <c r="M1187" s="26"/>
      <c r="N1187" s="25"/>
      <c r="O1187" s="25"/>
    </row>
    <row r="1188" spans="1:15" s="24" customFormat="1" ht="20.25" customHeight="1">
      <c r="A1188" s="294"/>
      <c r="B1188" s="293" t="s">
        <v>127</v>
      </c>
      <c r="C1188" s="294">
        <v>2</v>
      </c>
      <c r="D1188" s="294">
        <v>3</v>
      </c>
      <c r="E1188" s="294">
        <v>8</v>
      </c>
      <c r="F1188" s="300">
        <v>0.3</v>
      </c>
      <c r="G1188" s="295"/>
      <c r="H1188" s="300">
        <v>7.4999999999999997E-2</v>
      </c>
      <c r="I1188" s="308">
        <f t="shared" si="46"/>
        <v>1.08</v>
      </c>
      <c r="J1188" s="295"/>
      <c r="K1188" s="26"/>
      <c r="L1188" s="26"/>
      <c r="M1188" s="26"/>
      <c r="N1188" s="25"/>
      <c r="O1188" s="25"/>
    </row>
    <row r="1189" spans="1:15" s="24" customFormat="1" ht="20.25" customHeight="1">
      <c r="A1189" s="294"/>
      <c r="B1189" s="293" t="s">
        <v>126</v>
      </c>
      <c r="C1189" s="294">
        <v>2</v>
      </c>
      <c r="D1189" s="294">
        <v>3</v>
      </c>
      <c r="E1189" s="294">
        <v>8</v>
      </c>
      <c r="F1189" s="300">
        <v>0.15</v>
      </c>
      <c r="G1189" s="295"/>
      <c r="H1189" s="300">
        <v>7.4999999999999997E-2</v>
      </c>
      <c r="I1189" s="308">
        <f t="shared" si="46"/>
        <v>0.54</v>
      </c>
      <c r="J1189" s="295"/>
      <c r="K1189" s="26"/>
      <c r="L1189" s="26"/>
      <c r="M1189" s="26"/>
      <c r="N1189" s="25"/>
      <c r="O1189" s="25"/>
    </row>
    <row r="1190" spans="1:15" s="24" customFormat="1" ht="20.25" customHeight="1">
      <c r="A1190" s="294"/>
      <c r="B1190" s="293" t="s">
        <v>131</v>
      </c>
      <c r="C1190" s="294">
        <v>1</v>
      </c>
      <c r="D1190" s="294">
        <v>2</v>
      </c>
      <c r="E1190" s="294">
        <v>1</v>
      </c>
      <c r="F1190" s="300">
        <v>2.85</v>
      </c>
      <c r="G1190" s="295">
        <v>1.5</v>
      </c>
      <c r="H1190" s="300"/>
      <c r="I1190" s="308">
        <f t="shared" si="46"/>
        <v>8.5500000000000007</v>
      </c>
      <c r="J1190" s="295"/>
      <c r="K1190" s="26"/>
      <c r="L1190" s="26"/>
      <c r="M1190" s="26"/>
      <c r="N1190" s="25"/>
      <c r="O1190" s="25"/>
    </row>
    <row r="1191" spans="1:15" s="24" customFormat="1" ht="20.25" customHeight="1">
      <c r="A1191" s="294"/>
      <c r="B1191" s="293" t="s">
        <v>131</v>
      </c>
      <c r="C1191" s="294">
        <v>1</v>
      </c>
      <c r="D1191" s="294">
        <v>1</v>
      </c>
      <c r="E1191" s="294">
        <v>1</v>
      </c>
      <c r="F1191" s="300">
        <v>3.53</v>
      </c>
      <c r="G1191" s="295">
        <v>1.5</v>
      </c>
      <c r="H1191" s="300"/>
      <c r="I1191" s="308">
        <f>PRODUCT(C1191:H1191)</f>
        <v>5.3</v>
      </c>
      <c r="J1191" s="295"/>
      <c r="K1191" s="26"/>
      <c r="L1191" s="26"/>
      <c r="M1191" s="26"/>
      <c r="N1191" s="25"/>
      <c r="O1191" s="25"/>
    </row>
    <row r="1192" spans="1:15" s="24" customFormat="1" ht="20.25" customHeight="1">
      <c r="A1192" s="294"/>
      <c r="B1192" s="293" t="s">
        <v>123</v>
      </c>
      <c r="C1192" s="294">
        <v>1</v>
      </c>
      <c r="D1192" s="294">
        <v>3</v>
      </c>
      <c r="E1192" s="294">
        <v>1</v>
      </c>
      <c r="F1192" s="300">
        <v>5.85</v>
      </c>
      <c r="G1192" s="295"/>
      <c r="H1192" s="300">
        <v>7.4999999999999997E-2</v>
      </c>
      <c r="I1192" s="308">
        <f t="shared" si="46"/>
        <v>1.32</v>
      </c>
      <c r="J1192" s="295"/>
      <c r="K1192" s="26"/>
      <c r="L1192" s="26"/>
      <c r="M1192" s="26"/>
      <c r="N1192" s="25">
        <f>2.85+1.5+1.5</f>
        <v>5.85</v>
      </c>
      <c r="O1192" s="25"/>
    </row>
    <row r="1193" spans="1:15" s="24" customFormat="1" ht="20.25" customHeight="1">
      <c r="A1193" s="294"/>
      <c r="B1193" s="293" t="s">
        <v>135</v>
      </c>
      <c r="C1193" s="294">
        <v>1</v>
      </c>
      <c r="D1193" s="294">
        <v>3</v>
      </c>
      <c r="E1193" s="294">
        <v>1</v>
      </c>
      <c r="F1193" s="300">
        <v>0.05</v>
      </c>
      <c r="G1193" s="295"/>
      <c r="H1193" s="300">
        <v>7.4999999999999997E-2</v>
      </c>
      <c r="I1193" s="308">
        <f t="shared" si="46"/>
        <v>0.01</v>
      </c>
      <c r="J1193" s="295"/>
      <c r="K1193" s="26"/>
      <c r="L1193" s="26"/>
      <c r="M1193" s="26"/>
      <c r="N1193" s="25"/>
      <c r="O1193" s="25"/>
    </row>
    <row r="1194" spans="1:15" s="24" customFormat="1" ht="23.25">
      <c r="A1194" s="294"/>
      <c r="B1194" s="319" t="s">
        <v>134</v>
      </c>
      <c r="C1194" s="294">
        <v>1</v>
      </c>
      <c r="D1194" s="294">
        <v>2</v>
      </c>
      <c r="E1194" s="294">
        <v>8</v>
      </c>
      <c r="F1194" s="300">
        <v>1.35</v>
      </c>
      <c r="G1194" s="295">
        <v>0.3</v>
      </c>
      <c r="H1194" s="300"/>
      <c r="I1194" s="308">
        <f t="shared" si="46"/>
        <v>6.48</v>
      </c>
      <c r="J1194" s="295"/>
      <c r="K1194" s="26"/>
      <c r="L1194" s="26"/>
      <c r="M1194" s="26"/>
      <c r="N1194" s="25"/>
      <c r="O1194" s="25"/>
    </row>
    <row r="1195" spans="1:15" s="24" customFormat="1" ht="23.25">
      <c r="A1195" s="294"/>
      <c r="B1195" s="293" t="s">
        <v>128</v>
      </c>
      <c r="C1195" s="294">
        <v>1</v>
      </c>
      <c r="D1195" s="294">
        <v>2</v>
      </c>
      <c r="E1195" s="294">
        <v>9</v>
      </c>
      <c r="F1195" s="300">
        <v>1.35</v>
      </c>
      <c r="G1195" s="295"/>
      <c r="H1195" s="300">
        <v>0.15</v>
      </c>
      <c r="I1195" s="308">
        <f t="shared" si="46"/>
        <v>3.65</v>
      </c>
      <c r="J1195" s="295"/>
      <c r="K1195" s="26"/>
      <c r="L1195" s="26"/>
      <c r="M1195" s="26"/>
      <c r="N1195" s="25"/>
      <c r="O1195" s="25"/>
    </row>
    <row r="1196" spans="1:15" s="24" customFormat="1" ht="23.25">
      <c r="A1196" s="294"/>
      <c r="B1196" s="319" t="s">
        <v>134</v>
      </c>
      <c r="C1196" s="294">
        <v>1</v>
      </c>
      <c r="D1196" s="294">
        <v>1</v>
      </c>
      <c r="E1196" s="294">
        <v>8</v>
      </c>
      <c r="F1196" s="300">
        <v>1.5</v>
      </c>
      <c r="G1196" s="295">
        <v>0.3</v>
      </c>
      <c r="H1196" s="300"/>
      <c r="I1196" s="308">
        <f>PRODUCT(C1196:H1196)</f>
        <v>3.6</v>
      </c>
      <c r="J1196" s="295"/>
      <c r="K1196" s="26"/>
      <c r="L1196" s="26"/>
      <c r="M1196" s="26"/>
      <c r="N1196" s="25"/>
      <c r="O1196" s="25"/>
    </row>
    <row r="1197" spans="1:15" s="24" customFormat="1" ht="23.25">
      <c r="A1197" s="294"/>
      <c r="B1197" s="293" t="s">
        <v>128</v>
      </c>
      <c r="C1197" s="294">
        <v>1</v>
      </c>
      <c r="D1197" s="294">
        <v>1</v>
      </c>
      <c r="E1197" s="294">
        <v>9</v>
      </c>
      <c r="F1197" s="300">
        <v>1.5</v>
      </c>
      <c r="G1197" s="295"/>
      <c r="H1197" s="300">
        <v>0.15</v>
      </c>
      <c r="I1197" s="308">
        <f>PRODUCT(C1197:H1197)</f>
        <v>2.0299999999999998</v>
      </c>
      <c r="J1197" s="295"/>
      <c r="K1197" s="26"/>
      <c r="L1197" s="26"/>
      <c r="M1197" s="26"/>
      <c r="N1197" s="25"/>
      <c r="O1197" s="25"/>
    </row>
    <row r="1198" spans="1:15" s="24" customFormat="1" ht="23.25">
      <c r="A1198" s="294"/>
      <c r="B1198" s="293" t="s">
        <v>127</v>
      </c>
      <c r="C1198" s="294">
        <v>2</v>
      </c>
      <c r="D1198" s="294">
        <v>3</v>
      </c>
      <c r="E1198" s="294">
        <v>8</v>
      </c>
      <c r="F1198" s="300">
        <v>0.3</v>
      </c>
      <c r="G1198" s="295"/>
      <c r="H1198" s="300">
        <v>7.4999999999999997E-2</v>
      </c>
      <c r="I1198" s="308">
        <f t="shared" si="46"/>
        <v>1.08</v>
      </c>
      <c r="J1198" s="295"/>
      <c r="K1198" s="26"/>
      <c r="L1198" s="26"/>
      <c r="M1198" s="26"/>
      <c r="N1198" s="25"/>
      <c r="O1198" s="25"/>
    </row>
    <row r="1199" spans="1:15" s="24" customFormat="1" ht="23.25">
      <c r="A1199" s="294"/>
      <c r="B1199" s="293" t="s">
        <v>126</v>
      </c>
      <c r="C1199" s="294">
        <v>2</v>
      </c>
      <c r="D1199" s="294">
        <v>3</v>
      </c>
      <c r="E1199" s="294">
        <v>8</v>
      </c>
      <c r="F1199" s="300">
        <v>0.15</v>
      </c>
      <c r="G1199" s="295"/>
      <c r="H1199" s="300">
        <v>7.4999999999999997E-2</v>
      </c>
      <c r="I1199" s="308">
        <f t="shared" si="46"/>
        <v>0.54</v>
      </c>
      <c r="J1199" s="295"/>
      <c r="K1199" s="26"/>
      <c r="L1199" s="26"/>
      <c r="M1199" s="26"/>
      <c r="N1199" s="25"/>
      <c r="O1199" s="25"/>
    </row>
    <row r="1200" spans="1:15" s="24" customFormat="1" ht="23.25">
      <c r="A1200" s="294"/>
      <c r="B1200" s="293" t="s">
        <v>132</v>
      </c>
      <c r="C1200" s="294">
        <v>1</v>
      </c>
      <c r="D1200" s="294">
        <v>3</v>
      </c>
      <c r="E1200" s="294">
        <v>1</v>
      </c>
      <c r="F1200" s="300">
        <v>1.35</v>
      </c>
      <c r="G1200" s="295">
        <v>0.45</v>
      </c>
      <c r="H1200" s="300"/>
      <c r="I1200" s="308">
        <f t="shared" si="46"/>
        <v>1.82</v>
      </c>
      <c r="J1200" s="295"/>
      <c r="K1200" s="26"/>
      <c r="L1200" s="26"/>
      <c r="M1200" s="26"/>
      <c r="N1200" s="25"/>
      <c r="O1200" s="25"/>
    </row>
    <row r="1201" spans="1:15" s="24" customFormat="1" ht="38.25" customHeight="1">
      <c r="A1201" s="294"/>
      <c r="B1201" s="319" t="s">
        <v>133</v>
      </c>
      <c r="C1201" s="294">
        <v>2</v>
      </c>
      <c r="D1201" s="294">
        <v>13</v>
      </c>
      <c r="E1201" s="294">
        <v>9</v>
      </c>
      <c r="F1201" s="300">
        <v>1.35</v>
      </c>
      <c r="G1201" s="295">
        <v>0.3</v>
      </c>
      <c r="H1201" s="300"/>
      <c r="I1201" s="308">
        <f t="shared" si="46"/>
        <v>94.77</v>
      </c>
      <c r="J1201" s="295"/>
      <c r="K1201" s="26"/>
      <c r="L1201" s="26"/>
      <c r="M1201" s="26"/>
      <c r="N1201" s="25"/>
      <c r="O1201" s="25"/>
    </row>
    <row r="1202" spans="1:15" s="24" customFormat="1" ht="18" customHeight="1">
      <c r="A1202" s="294"/>
      <c r="B1202" s="293" t="s">
        <v>128</v>
      </c>
      <c r="C1202" s="294">
        <v>2</v>
      </c>
      <c r="D1202" s="294">
        <v>12</v>
      </c>
      <c r="E1202" s="294">
        <v>10</v>
      </c>
      <c r="F1202" s="300">
        <v>1.35</v>
      </c>
      <c r="G1202" s="295"/>
      <c r="H1202" s="300">
        <v>0.15</v>
      </c>
      <c r="I1202" s="308">
        <f t="shared" si="46"/>
        <v>48.6</v>
      </c>
      <c r="J1202" s="295"/>
      <c r="K1202" s="26"/>
      <c r="L1202" s="26"/>
      <c r="M1202" s="26"/>
      <c r="N1202" s="25"/>
      <c r="O1202" s="25"/>
    </row>
    <row r="1203" spans="1:15" s="24" customFormat="1" ht="18" customHeight="1">
      <c r="A1203" s="294"/>
      <c r="B1203" s="293" t="s">
        <v>128</v>
      </c>
      <c r="C1203" s="294">
        <v>1</v>
      </c>
      <c r="D1203" s="294">
        <v>12</v>
      </c>
      <c r="E1203" s="294">
        <v>10</v>
      </c>
      <c r="F1203" s="300">
        <v>1.35</v>
      </c>
      <c r="G1203" s="295"/>
      <c r="H1203" s="300">
        <v>0.15</v>
      </c>
      <c r="I1203" s="308">
        <f>PRODUCT(C1203:H1203)</f>
        <v>24.3</v>
      </c>
      <c r="J1203" s="295"/>
      <c r="K1203" s="26"/>
      <c r="L1203" s="26"/>
      <c r="M1203" s="26"/>
      <c r="N1203" s="25"/>
      <c r="O1203" s="25"/>
    </row>
    <row r="1204" spans="1:15" s="24" customFormat="1" ht="18" customHeight="1">
      <c r="A1204" s="294"/>
      <c r="B1204" s="293" t="s">
        <v>1314</v>
      </c>
      <c r="C1204" s="294">
        <v>1</v>
      </c>
      <c r="D1204" s="294">
        <v>12</v>
      </c>
      <c r="E1204" s="294">
        <v>9</v>
      </c>
      <c r="F1204" s="300">
        <v>1.5</v>
      </c>
      <c r="G1204" s="295">
        <v>0.3</v>
      </c>
      <c r="H1204" s="300"/>
      <c r="I1204" s="308">
        <f>PRODUCT(C1204:H1204)</f>
        <v>48.6</v>
      </c>
      <c r="J1204" s="295"/>
      <c r="K1204" s="26"/>
      <c r="L1204" s="26"/>
      <c r="M1204" s="26"/>
      <c r="N1204" s="25"/>
      <c r="O1204" s="25"/>
    </row>
    <row r="1205" spans="1:15" s="24" customFormat="1" ht="18" customHeight="1">
      <c r="A1205" s="294"/>
      <c r="B1205" s="293" t="s">
        <v>907</v>
      </c>
      <c r="C1205" s="294">
        <v>1</v>
      </c>
      <c r="D1205" s="294">
        <v>12</v>
      </c>
      <c r="E1205" s="294">
        <v>10</v>
      </c>
      <c r="F1205" s="300">
        <v>1.5</v>
      </c>
      <c r="G1205" s="295"/>
      <c r="H1205" s="300">
        <v>0.15</v>
      </c>
      <c r="I1205" s="308">
        <f>PRODUCT(C1205:H1205)</f>
        <v>27</v>
      </c>
      <c r="J1205" s="295"/>
      <c r="K1205" s="26"/>
      <c r="L1205" s="26"/>
      <c r="M1205" s="26"/>
      <c r="N1205" s="25"/>
      <c r="O1205" s="25"/>
    </row>
    <row r="1206" spans="1:15" s="24" customFormat="1" ht="18" customHeight="1">
      <c r="A1206" s="294"/>
      <c r="B1206" s="293" t="s">
        <v>907</v>
      </c>
      <c r="C1206" s="294">
        <v>1</v>
      </c>
      <c r="D1206" s="294">
        <v>12</v>
      </c>
      <c r="E1206" s="294">
        <v>10</v>
      </c>
      <c r="F1206" s="300">
        <v>1.5</v>
      </c>
      <c r="G1206" s="295"/>
      <c r="H1206" s="300">
        <v>0.15</v>
      </c>
      <c r="I1206" s="308">
        <f>PRODUCT(C1206:H1206)</f>
        <v>27</v>
      </c>
      <c r="J1206" s="295"/>
      <c r="K1206" s="26"/>
      <c r="L1206" s="26"/>
      <c r="M1206" s="26"/>
      <c r="N1206" s="25"/>
      <c r="O1206" s="25"/>
    </row>
    <row r="1207" spans="1:15" s="24" customFormat="1" ht="18" customHeight="1">
      <c r="A1207" s="294"/>
      <c r="B1207" s="293" t="s">
        <v>127</v>
      </c>
      <c r="C1207" s="294">
        <v>6</v>
      </c>
      <c r="D1207" s="294">
        <v>12</v>
      </c>
      <c r="E1207" s="294">
        <v>9</v>
      </c>
      <c r="F1207" s="300">
        <v>0.3</v>
      </c>
      <c r="G1207" s="295"/>
      <c r="H1207" s="300">
        <v>7.4999999999999997E-2</v>
      </c>
      <c r="I1207" s="308">
        <f t="shared" si="46"/>
        <v>14.58</v>
      </c>
      <c r="J1207" s="295"/>
      <c r="K1207" s="26"/>
      <c r="L1207" s="26"/>
      <c r="M1207" s="26"/>
      <c r="N1207" s="25"/>
      <c r="O1207" s="25"/>
    </row>
    <row r="1208" spans="1:15" s="24" customFormat="1" ht="18" customHeight="1">
      <c r="A1208" s="294"/>
      <c r="B1208" s="293" t="s">
        <v>126</v>
      </c>
      <c r="C1208" s="294">
        <v>6</v>
      </c>
      <c r="D1208" s="294">
        <v>12</v>
      </c>
      <c r="E1208" s="294">
        <v>9</v>
      </c>
      <c r="F1208" s="300">
        <v>0.15</v>
      </c>
      <c r="G1208" s="295"/>
      <c r="H1208" s="300">
        <v>7.4999999999999997E-2</v>
      </c>
      <c r="I1208" s="308">
        <f t="shared" si="46"/>
        <v>7.29</v>
      </c>
      <c r="J1208" s="295"/>
      <c r="K1208" s="26"/>
      <c r="L1208" s="26"/>
      <c r="M1208" s="26"/>
      <c r="N1208" s="25"/>
      <c r="O1208" s="25"/>
    </row>
    <row r="1209" spans="1:15" s="24" customFormat="1" ht="18" customHeight="1">
      <c r="A1209" s="294"/>
      <c r="B1209" s="293" t="s">
        <v>131</v>
      </c>
      <c r="C1209" s="294">
        <v>1</v>
      </c>
      <c r="D1209" s="294">
        <v>12</v>
      </c>
      <c r="E1209" s="294">
        <v>1</v>
      </c>
      <c r="F1209" s="300">
        <v>3.53</v>
      </c>
      <c r="G1209" s="295">
        <v>1.5</v>
      </c>
      <c r="H1209" s="300"/>
      <c r="I1209" s="308">
        <f>PRODUCT(C1209:H1209)</f>
        <v>63.54</v>
      </c>
      <c r="J1209" s="295"/>
      <c r="K1209" s="26"/>
      <c r="L1209" s="26"/>
      <c r="M1209" s="26"/>
      <c r="N1209" s="25"/>
      <c r="O1209" s="25"/>
    </row>
    <row r="1210" spans="1:15" s="24" customFormat="1" ht="18" customHeight="1">
      <c r="A1210" s="294"/>
      <c r="B1210" s="293" t="s">
        <v>131</v>
      </c>
      <c r="C1210" s="294">
        <v>2</v>
      </c>
      <c r="D1210" s="294">
        <v>12</v>
      </c>
      <c r="E1210" s="294">
        <v>1</v>
      </c>
      <c r="F1210" s="300">
        <v>2.85</v>
      </c>
      <c r="G1210" s="295">
        <v>1.5</v>
      </c>
      <c r="H1210" s="300"/>
      <c r="I1210" s="308">
        <f t="shared" si="46"/>
        <v>102.6</v>
      </c>
      <c r="J1210" s="295"/>
      <c r="K1210" s="26"/>
      <c r="L1210" s="26"/>
      <c r="M1210" s="26"/>
      <c r="N1210" s="25"/>
      <c r="O1210" s="25"/>
    </row>
    <row r="1211" spans="1:15" s="24" customFormat="1" ht="19.5" customHeight="1">
      <c r="A1211" s="294"/>
      <c r="B1211" s="293" t="s">
        <v>130</v>
      </c>
      <c r="C1211" s="294">
        <v>3</v>
      </c>
      <c r="D1211" s="294">
        <v>2</v>
      </c>
      <c r="E1211" s="294">
        <v>1</v>
      </c>
      <c r="F1211" s="300">
        <v>0.05</v>
      </c>
      <c r="G1211" s="295"/>
      <c r="H1211" s="300">
        <v>7.4999999999999997E-2</v>
      </c>
      <c r="I1211" s="308">
        <f t="shared" si="46"/>
        <v>0.02</v>
      </c>
      <c r="J1211" s="295"/>
      <c r="K1211" s="26"/>
      <c r="L1211" s="26"/>
      <c r="M1211" s="26"/>
      <c r="N1211" s="25"/>
      <c r="O1211" s="25"/>
    </row>
    <row r="1212" spans="1:15" s="24" customFormat="1" ht="19.5" customHeight="1">
      <c r="A1212" s="294"/>
      <c r="B1212" s="319" t="s">
        <v>129</v>
      </c>
      <c r="C1212" s="294">
        <v>1</v>
      </c>
      <c r="D1212" s="294">
        <v>3</v>
      </c>
      <c r="E1212" s="294">
        <v>10</v>
      </c>
      <c r="F1212" s="300">
        <v>1.35</v>
      </c>
      <c r="G1212" s="295">
        <v>0.3</v>
      </c>
      <c r="H1212" s="300"/>
      <c r="I1212" s="308">
        <f t="shared" si="46"/>
        <v>12.15</v>
      </c>
      <c r="J1212" s="295"/>
      <c r="K1212" s="26"/>
      <c r="L1212" s="26"/>
      <c r="M1212" s="26"/>
      <c r="N1212" s="25"/>
      <c r="O1212" s="25"/>
    </row>
    <row r="1213" spans="1:15" s="24" customFormat="1" ht="19.5" customHeight="1">
      <c r="A1213" s="294"/>
      <c r="B1213" s="293" t="s">
        <v>128</v>
      </c>
      <c r="C1213" s="294">
        <v>1</v>
      </c>
      <c r="D1213" s="294">
        <v>3</v>
      </c>
      <c r="E1213" s="294">
        <v>11</v>
      </c>
      <c r="F1213" s="300">
        <v>1.35</v>
      </c>
      <c r="G1213" s="295"/>
      <c r="H1213" s="300">
        <v>0.15</v>
      </c>
      <c r="I1213" s="308">
        <f t="shared" si="46"/>
        <v>6.68</v>
      </c>
      <c r="J1213" s="295"/>
      <c r="K1213" s="26"/>
      <c r="L1213" s="26"/>
      <c r="M1213" s="26"/>
      <c r="N1213" s="25"/>
      <c r="O1213" s="25"/>
    </row>
    <row r="1214" spans="1:15" s="24" customFormat="1" ht="19.5" customHeight="1">
      <c r="A1214" s="294"/>
      <c r="B1214" s="293" t="s">
        <v>127</v>
      </c>
      <c r="C1214" s="294">
        <v>2</v>
      </c>
      <c r="D1214" s="294">
        <v>3</v>
      </c>
      <c r="E1214" s="294">
        <v>10</v>
      </c>
      <c r="F1214" s="300">
        <v>0.3</v>
      </c>
      <c r="G1214" s="295"/>
      <c r="H1214" s="300">
        <v>7.4999999999999997E-2</v>
      </c>
      <c r="I1214" s="308">
        <f t="shared" si="46"/>
        <v>1.35</v>
      </c>
      <c r="J1214" s="295"/>
      <c r="K1214" s="26"/>
      <c r="L1214" s="26"/>
      <c r="M1214" s="26"/>
      <c r="N1214" s="25"/>
      <c r="O1214" s="25"/>
    </row>
    <row r="1215" spans="1:15" s="24" customFormat="1" ht="19.5" customHeight="1">
      <c r="A1215" s="294"/>
      <c r="B1215" s="293" t="s">
        <v>126</v>
      </c>
      <c r="C1215" s="294">
        <v>2</v>
      </c>
      <c r="D1215" s="294">
        <v>3</v>
      </c>
      <c r="E1215" s="294">
        <v>10</v>
      </c>
      <c r="F1215" s="300">
        <v>0.15</v>
      </c>
      <c r="G1215" s="295"/>
      <c r="H1215" s="300">
        <v>7.4999999999999997E-2</v>
      </c>
      <c r="I1215" s="308">
        <f t="shared" si="46"/>
        <v>0.68</v>
      </c>
      <c r="J1215" s="295"/>
      <c r="K1215" s="26"/>
      <c r="L1215" s="26"/>
      <c r="M1215" s="26"/>
      <c r="N1215" s="25"/>
      <c r="O1215" s="25"/>
    </row>
    <row r="1216" spans="1:15" s="24" customFormat="1" ht="19.5" customHeight="1">
      <c r="A1216" s="294"/>
      <c r="B1216" s="293" t="s">
        <v>125</v>
      </c>
      <c r="C1216" s="294">
        <v>1</v>
      </c>
      <c r="D1216" s="294">
        <v>3</v>
      </c>
      <c r="E1216" s="294">
        <v>1</v>
      </c>
      <c r="F1216" s="300">
        <v>0.05</v>
      </c>
      <c r="G1216" s="295"/>
      <c r="H1216" s="300">
        <v>7.4999999999999997E-2</v>
      </c>
      <c r="I1216" s="308">
        <f t="shared" si="46"/>
        <v>0.01</v>
      </c>
      <c r="J1216" s="295"/>
      <c r="K1216" s="26"/>
      <c r="L1216" s="26"/>
      <c r="M1216" s="26"/>
      <c r="N1216" s="25"/>
      <c r="O1216" s="25"/>
    </row>
    <row r="1217" spans="1:30" s="24" customFormat="1" ht="23.25">
      <c r="A1217" s="294"/>
      <c r="B1217" s="319" t="s">
        <v>119</v>
      </c>
      <c r="C1217" s="294"/>
      <c r="D1217" s="294"/>
      <c r="E1217" s="294"/>
      <c r="F1217" s="300"/>
      <c r="G1217" s="295"/>
      <c r="H1217" s="300"/>
      <c r="I1217" s="308"/>
      <c r="J1217" s="295"/>
      <c r="K1217" s="26"/>
      <c r="L1217" s="26"/>
      <c r="M1217" s="26"/>
      <c r="N1217" s="25"/>
      <c r="O1217" s="25"/>
    </row>
    <row r="1218" spans="1:30" s="24" customFormat="1" ht="18" customHeight="1">
      <c r="A1218" s="294"/>
      <c r="B1218" s="297" t="s">
        <v>124</v>
      </c>
      <c r="C1218" s="294">
        <v>1</v>
      </c>
      <c r="D1218" s="294">
        <v>1</v>
      </c>
      <c r="E1218" s="294">
        <v>3</v>
      </c>
      <c r="F1218" s="300">
        <v>2.85</v>
      </c>
      <c r="G1218" s="295">
        <v>1.65</v>
      </c>
      <c r="H1218" s="300"/>
      <c r="I1218" s="308">
        <f>PRODUCT(C1218:H1218)</f>
        <v>14.11</v>
      </c>
      <c r="J1218" s="295"/>
      <c r="K1218" s="26"/>
      <c r="L1218" s="26"/>
      <c r="M1218" s="26"/>
      <c r="N1218" s="25"/>
      <c r="O1218" s="25"/>
    </row>
    <row r="1219" spans="1:30" s="24" customFormat="1" ht="18" customHeight="1">
      <c r="A1219" s="294"/>
      <c r="B1219" s="297" t="s">
        <v>124</v>
      </c>
      <c r="C1219" s="294">
        <v>1</v>
      </c>
      <c r="D1219" s="294">
        <v>1</v>
      </c>
      <c r="E1219" s="294">
        <v>1</v>
      </c>
      <c r="F1219" s="295">
        <v>1.6</v>
      </c>
      <c r="G1219" s="295">
        <v>1.5</v>
      </c>
      <c r="H1219" s="300"/>
      <c r="I1219" s="308">
        <f>PRODUCT(C1219:H1219)</f>
        <v>2.4</v>
      </c>
      <c r="J1219" s="295"/>
      <c r="K1219" s="26"/>
      <c r="L1219" s="26"/>
      <c r="M1219" s="26"/>
      <c r="N1219" s="25"/>
      <c r="O1219" s="25"/>
    </row>
    <row r="1220" spans="1:30" s="24" customFormat="1" ht="18" customHeight="1">
      <c r="A1220" s="294"/>
      <c r="B1220" s="297" t="s">
        <v>124</v>
      </c>
      <c r="C1220" s="294">
        <v>1</v>
      </c>
      <c r="D1220" s="294">
        <v>1</v>
      </c>
      <c r="E1220" s="294">
        <v>1</v>
      </c>
      <c r="F1220" s="295">
        <v>1.65</v>
      </c>
      <c r="G1220" s="295">
        <v>1.5</v>
      </c>
      <c r="H1220" s="300"/>
      <c r="I1220" s="308">
        <f>PRODUCT(C1220:H1220)</f>
        <v>2.48</v>
      </c>
      <c r="J1220" s="295"/>
      <c r="K1220" s="26"/>
      <c r="L1220" s="26"/>
      <c r="M1220" s="26"/>
      <c r="N1220" s="25"/>
      <c r="O1220" s="25"/>
    </row>
    <row r="1221" spans="1:30" s="24" customFormat="1" ht="18" customHeight="1">
      <c r="A1221" s="294"/>
      <c r="B1221" s="297" t="s">
        <v>124</v>
      </c>
      <c r="C1221" s="294">
        <v>1</v>
      </c>
      <c r="D1221" s="294">
        <v>1</v>
      </c>
      <c r="E1221" s="294">
        <v>1</v>
      </c>
      <c r="F1221" s="295">
        <v>1.37</v>
      </c>
      <c r="G1221" s="295">
        <v>1.5</v>
      </c>
      <c r="H1221" s="300"/>
      <c r="I1221" s="308">
        <f>PRODUCT(C1221:H1221)</f>
        <v>2.06</v>
      </c>
      <c r="J1221" s="295"/>
      <c r="K1221" s="26"/>
      <c r="L1221" s="26"/>
      <c r="M1221" s="26"/>
      <c r="N1221" s="25"/>
      <c r="O1221" s="25"/>
    </row>
    <row r="1222" spans="1:30" s="5" customFormat="1" ht="23.25" customHeight="1">
      <c r="A1222" s="289"/>
      <c r="B1222" s="342"/>
      <c r="C1222" s="346"/>
      <c r="D1222" s="280"/>
      <c r="E1222" s="346"/>
      <c r="F1222" s="337"/>
      <c r="G1222" s="337"/>
      <c r="H1222" s="337"/>
      <c r="I1222" s="339">
        <f>SUM(I1172:I1221)</f>
        <v>1826.67</v>
      </c>
      <c r="J1222" s="284"/>
      <c r="K1222" s="43"/>
      <c r="L1222" s="43"/>
      <c r="M1222" s="43"/>
      <c r="N1222" s="7"/>
      <c r="O1222" s="7"/>
      <c r="P1222" s="7">
        <f>0.23*3</f>
        <v>0.69</v>
      </c>
      <c r="Q1222" s="7">
        <f>12*0.115</f>
        <v>1.38</v>
      </c>
      <c r="R1222" s="7"/>
      <c r="S1222" s="7"/>
      <c r="T1222" s="7">
        <f>0.23*2</f>
        <v>0.46</v>
      </c>
      <c r="U1222" s="7"/>
      <c r="V1222" s="7"/>
      <c r="W1222" s="7"/>
      <c r="X1222" s="7"/>
      <c r="Y1222" s="7"/>
      <c r="Z1222" s="7"/>
      <c r="AA1222" s="7"/>
      <c r="AB1222" s="7"/>
      <c r="AC1222" s="7"/>
      <c r="AD1222" s="7"/>
    </row>
    <row r="1223" spans="1:30" s="5" customFormat="1" ht="23.25" customHeight="1">
      <c r="A1223" s="289"/>
      <c r="B1223" s="342"/>
      <c r="C1223" s="346"/>
      <c r="D1223" s="280"/>
      <c r="E1223" s="346"/>
      <c r="F1223" s="337"/>
      <c r="G1223" s="337"/>
      <c r="H1223" s="404" t="s">
        <v>55</v>
      </c>
      <c r="I1223" s="416">
        <f>ROUNDUP(I1222,1)</f>
        <v>1826.7</v>
      </c>
      <c r="J1223" s="343" t="s">
        <v>4</v>
      </c>
      <c r="K1223" s="44"/>
      <c r="L1223" s="44"/>
      <c r="M1223" s="44"/>
      <c r="N1223" s="7"/>
      <c r="O1223" s="7"/>
      <c r="P1223" s="7">
        <f>14*0.9</f>
        <v>12.6</v>
      </c>
      <c r="Q1223" s="7">
        <f>P1223+Q1222+P1222</f>
        <v>14.67</v>
      </c>
      <c r="R1223" s="7"/>
      <c r="S1223" s="7"/>
      <c r="T1223" s="7" t="e">
        <f>#REF!+#REF!+T1222</f>
        <v>#REF!</v>
      </c>
      <c r="U1223" s="7"/>
      <c r="V1223" s="7"/>
      <c r="W1223" s="7"/>
      <c r="X1223" s="7"/>
      <c r="Y1223" s="7"/>
      <c r="Z1223" s="7"/>
      <c r="AA1223" s="7"/>
      <c r="AB1223" s="7"/>
      <c r="AC1223" s="7"/>
      <c r="AD1223" s="7"/>
    </row>
    <row r="1224" spans="1:30" s="5" customFormat="1" ht="23.25" customHeight="1">
      <c r="A1224" s="289">
        <v>31</v>
      </c>
      <c r="B1224" s="319" t="s">
        <v>30</v>
      </c>
      <c r="C1224" s="294"/>
      <c r="D1224" s="280"/>
      <c r="E1224" s="294"/>
      <c r="F1224" s="338"/>
      <c r="G1224" s="338"/>
      <c r="H1224" s="338"/>
      <c r="I1224" s="347"/>
      <c r="J1224" s="340"/>
      <c r="K1224" s="39"/>
      <c r="L1224" s="39"/>
      <c r="M1224" s="39"/>
      <c r="N1224" s="7"/>
      <c r="O1224" s="7"/>
      <c r="P1224" s="7">
        <f>28*4</f>
        <v>112</v>
      </c>
      <c r="Q1224" s="7"/>
      <c r="R1224" s="7"/>
      <c r="S1224" s="7"/>
      <c r="T1224" s="7"/>
      <c r="U1224" s="7"/>
      <c r="V1224" s="7"/>
      <c r="W1224" s="7"/>
      <c r="X1224" s="7"/>
      <c r="Y1224" s="7"/>
      <c r="Z1224" s="7"/>
      <c r="AA1224" s="7"/>
      <c r="AB1224" s="7"/>
      <c r="AC1224" s="7"/>
      <c r="AD1224" s="7"/>
    </row>
    <row r="1225" spans="1:30" s="367" customFormat="1" ht="22.5" customHeight="1">
      <c r="A1225" s="395"/>
      <c r="B1225" s="396" t="s">
        <v>1336</v>
      </c>
      <c r="C1225" s="397"/>
      <c r="D1225" s="397"/>
      <c r="E1225" s="397"/>
      <c r="F1225" s="410"/>
      <c r="G1225" s="410"/>
      <c r="H1225" s="410"/>
      <c r="I1225" s="399"/>
      <c r="J1225" s="396"/>
    </row>
    <row r="1226" spans="1:30" s="367" customFormat="1" ht="22.5" customHeight="1">
      <c r="A1226" s="395"/>
      <c r="B1226" s="401" t="s">
        <v>1337</v>
      </c>
      <c r="C1226" s="397">
        <v>100</v>
      </c>
      <c r="D1226" s="397">
        <v>1</v>
      </c>
      <c r="E1226" s="397">
        <v>1</v>
      </c>
      <c r="F1226" s="410">
        <v>2.1</v>
      </c>
      <c r="G1226" s="410">
        <v>1.2</v>
      </c>
      <c r="H1226" s="410">
        <v>0.3</v>
      </c>
      <c r="I1226" s="399">
        <f t="shared" ref="I1226:I1253" si="47">PRODUCT(C1226:H1226)</f>
        <v>75.599999999999994</v>
      </c>
      <c r="J1226" s="396"/>
    </row>
    <row r="1227" spans="1:30" s="367" customFormat="1" ht="22.5" customHeight="1">
      <c r="A1227" s="395"/>
      <c r="B1227" s="401" t="s">
        <v>1338</v>
      </c>
      <c r="C1227" s="397">
        <v>100</v>
      </c>
      <c r="D1227" s="397">
        <v>1</v>
      </c>
      <c r="E1227" s="397">
        <v>1</v>
      </c>
      <c r="F1227" s="410">
        <v>1.2</v>
      </c>
      <c r="G1227" s="410">
        <v>0.9</v>
      </c>
      <c r="H1227" s="398">
        <v>2.5000000000000001E-2</v>
      </c>
      <c r="I1227" s="399">
        <f t="shared" si="47"/>
        <v>2.7</v>
      </c>
      <c r="J1227" s="396"/>
    </row>
    <row r="1228" spans="1:30" s="367" customFormat="1" ht="22.5" customHeight="1">
      <c r="A1228" s="395"/>
      <c r="B1228" s="401" t="s">
        <v>958</v>
      </c>
      <c r="C1228" s="397">
        <v>100</v>
      </c>
      <c r="D1228" s="397">
        <v>1</v>
      </c>
      <c r="E1228" s="397">
        <v>1</v>
      </c>
      <c r="F1228" s="410">
        <v>2.29</v>
      </c>
      <c r="G1228" s="410">
        <v>1.2</v>
      </c>
      <c r="H1228" s="410">
        <v>0.2</v>
      </c>
      <c r="I1228" s="399">
        <f t="shared" si="47"/>
        <v>54.96</v>
      </c>
      <c r="J1228" s="396"/>
    </row>
    <row r="1229" spans="1:30" s="367" customFormat="1" ht="22.5" customHeight="1">
      <c r="A1229" s="395"/>
      <c r="B1229" s="401" t="s">
        <v>1339</v>
      </c>
      <c r="C1229" s="397">
        <v>100</v>
      </c>
      <c r="D1229" s="397">
        <v>1</v>
      </c>
      <c r="E1229" s="397">
        <v>1</v>
      </c>
      <c r="F1229" s="410">
        <v>2.57</v>
      </c>
      <c r="G1229" s="410">
        <v>0.99</v>
      </c>
      <c r="H1229" s="410">
        <v>0.3</v>
      </c>
      <c r="I1229" s="399">
        <f t="shared" si="47"/>
        <v>76.33</v>
      </c>
      <c r="J1229" s="396"/>
    </row>
    <row r="1230" spans="1:30" s="367" customFormat="1" ht="22.5" customHeight="1">
      <c r="A1230" s="395"/>
      <c r="B1230" s="396" t="s">
        <v>944</v>
      </c>
      <c r="C1230" s="397"/>
      <c r="D1230" s="397"/>
      <c r="E1230" s="397"/>
      <c r="F1230" s="410"/>
      <c r="G1230" s="410"/>
      <c r="H1230" s="410"/>
      <c r="I1230" s="399"/>
      <c r="J1230" s="396"/>
    </row>
    <row r="1231" spans="1:30" s="367" customFormat="1" ht="22.5" customHeight="1">
      <c r="A1231" s="395"/>
      <c r="B1231" s="401" t="s">
        <v>1338</v>
      </c>
      <c r="C1231" s="397">
        <v>-100</v>
      </c>
      <c r="D1231" s="397">
        <v>1</v>
      </c>
      <c r="E1231" s="397">
        <v>1</v>
      </c>
      <c r="F1231" s="410">
        <v>0.55000000000000004</v>
      </c>
      <c r="G1231" s="410">
        <v>0.45</v>
      </c>
      <c r="H1231" s="398">
        <v>0.375</v>
      </c>
      <c r="I1231" s="399">
        <f t="shared" si="47"/>
        <v>-9.2799999999999994</v>
      </c>
      <c r="J1231" s="396"/>
    </row>
    <row r="1232" spans="1:30" s="367" customFormat="1" ht="22.5" customHeight="1">
      <c r="A1232" s="395"/>
      <c r="B1232" s="396" t="s">
        <v>1340</v>
      </c>
      <c r="C1232" s="397"/>
      <c r="D1232" s="397"/>
      <c r="E1232" s="397"/>
      <c r="F1232" s="410"/>
      <c r="G1232" s="410"/>
      <c r="H1232" s="398"/>
      <c r="I1232" s="399"/>
      <c r="J1232" s="396"/>
    </row>
    <row r="1233" spans="1:10" s="367" customFormat="1" ht="22.5" customHeight="1">
      <c r="A1233" s="395"/>
      <c r="B1233" s="401" t="s">
        <v>1341</v>
      </c>
      <c r="C1233" s="397">
        <v>1</v>
      </c>
      <c r="D1233" s="397">
        <v>1</v>
      </c>
      <c r="E1233" s="397">
        <v>2</v>
      </c>
      <c r="F1233" s="410">
        <v>2.85</v>
      </c>
      <c r="G1233" s="410">
        <v>6.12</v>
      </c>
      <c r="H1233" s="398">
        <v>7.4999999999999997E-2</v>
      </c>
      <c r="I1233" s="399">
        <f t="shared" si="47"/>
        <v>2.62</v>
      </c>
      <c r="J1233" s="396"/>
    </row>
    <row r="1234" spans="1:10" s="367" customFormat="1" ht="22.5" customHeight="1">
      <c r="A1234" s="395"/>
      <c r="B1234" s="401" t="s">
        <v>1341</v>
      </c>
      <c r="C1234" s="397">
        <v>1</v>
      </c>
      <c r="D1234" s="397">
        <v>2</v>
      </c>
      <c r="E1234" s="410">
        <v>0.5</v>
      </c>
      <c r="F1234" s="410">
        <v>0.91</v>
      </c>
      <c r="G1234" s="410">
        <v>0.91</v>
      </c>
      <c r="H1234" s="398">
        <v>7.4999999999999997E-2</v>
      </c>
      <c r="I1234" s="399">
        <f t="shared" si="47"/>
        <v>0.06</v>
      </c>
      <c r="J1234" s="396"/>
    </row>
    <row r="1235" spans="1:10" s="367" customFormat="1" ht="22.5" customHeight="1">
      <c r="A1235" s="395"/>
      <c r="B1235" s="401" t="s">
        <v>1341</v>
      </c>
      <c r="C1235" s="397">
        <v>1</v>
      </c>
      <c r="D1235" s="397">
        <v>2</v>
      </c>
      <c r="E1235" s="410">
        <v>0.5</v>
      </c>
      <c r="F1235" s="410">
        <v>0.56000000000000005</v>
      </c>
      <c r="G1235" s="410">
        <v>0.55000000000000004</v>
      </c>
      <c r="H1235" s="398">
        <v>7.4999999999999997E-2</v>
      </c>
      <c r="I1235" s="399">
        <f t="shared" si="47"/>
        <v>0.02</v>
      </c>
      <c r="J1235" s="396"/>
    </row>
    <row r="1236" spans="1:10" s="367" customFormat="1" ht="22.5" customHeight="1">
      <c r="A1236" s="395"/>
      <c r="B1236" s="401" t="s">
        <v>1342</v>
      </c>
      <c r="C1236" s="397">
        <v>1</v>
      </c>
      <c r="D1236" s="397">
        <v>1</v>
      </c>
      <c r="E1236" s="397">
        <v>1</v>
      </c>
      <c r="F1236" s="410">
        <v>2.6</v>
      </c>
      <c r="G1236" s="410">
        <v>6.06</v>
      </c>
      <c r="H1236" s="398">
        <v>7.4999999999999997E-2</v>
      </c>
      <c r="I1236" s="399">
        <f t="shared" si="47"/>
        <v>1.18</v>
      </c>
      <c r="J1236" s="396"/>
    </row>
    <row r="1237" spans="1:10" s="367" customFormat="1" ht="22.5" customHeight="1">
      <c r="A1237" s="395"/>
      <c r="B1237" s="401" t="s">
        <v>1343</v>
      </c>
      <c r="C1237" s="397">
        <v>1</v>
      </c>
      <c r="D1237" s="397">
        <v>1</v>
      </c>
      <c r="E1237" s="397">
        <v>1</v>
      </c>
      <c r="F1237" s="410">
        <v>6.15</v>
      </c>
      <c r="G1237" s="410">
        <v>2.2999999999999998</v>
      </c>
      <c r="H1237" s="398">
        <v>7.4999999999999997E-2</v>
      </c>
      <c r="I1237" s="399">
        <f t="shared" si="47"/>
        <v>1.06</v>
      </c>
      <c r="J1237" s="396"/>
    </row>
    <row r="1238" spans="1:10" s="367" customFormat="1" ht="22.5" customHeight="1">
      <c r="A1238" s="395"/>
      <c r="B1238" s="401" t="s">
        <v>1344</v>
      </c>
      <c r="C1238" s="397">
        <v>1</v>
      </c>
      <c r="D1238" s="397">
        <v>1</v>
      </c>
      <c r="E1238" s="397">
        <v>1</v>
      </c>
      <c r="F1238" s="410">
        <v>6.15</v>
      </c>
      <c r="G1238" s="410">
        <v>3.53</v>
      </c>
      <c r="H1238" s="398">
        <v>7.4999999999999997E-2</v>
      </c>
      <c r="I1238" s="399">
        <f t="shared" si="47"/>
        <v>1.63</v>
      </c>
      <c r="J1238" s="396"/>
    </row>
    <row r="1239" spans="1:10" s="367" customFormat="1" ht="22.5" customHeight="1">
      <c r="A1239" s="395"/>
      <c r="B1239" s="401" t="s">
        <v>1344</v>
      </c>
      <c r="C1239" s="397">
        <v>1</v>
      </c>
      <c r="D1239" s="397">
        <v>1</v>
      </c>
      <c r="E1239" s="397">
        <v>1</v>
      </c>
      <c r="F1239" s="410">
        <v>1.05</v>
      </c>
      <c r="G1239" s="410">
        <v>1.8</v>
      </c>
      <c r="H1239" s="398">
        <v>7.4999999999999997E-2</v>
      </c>
      <c r="I1239" s="399">
        <f t="shared" si="47"/>
        <v>0.14000000000000001</v>
      </c>
      <c r="J1239" s="396"/>
    </row>
    <row r="1240" spans="1:10" s="367" customFormat="1" ht="22.5" customHeight="1">
      <c r="A1240" s="395"/>
      <c r="B1240" s="401" t="s">
        <v>1344</v>
      </c>
      <c r="C1240" s="397">
        <v>1</v>
      </c>
      <c r="D1240" s="397">
        <v>1</v>
      </c>
      <c r="E1240" s="397">
        <v>1</v>
      </c>
      <c r="F1240" s="410">
        <v>1.4</v>
      </c>
      <c r="G1240" s="410">
        <v>0.23</v>
      </c>
      <c r="H1240" s="398">
        <v>7.4999999999999997E-2</v>
      </c>
      <c r="I1240" s="399">
        <f t="shared" si="47"/>
        <v>0.02</v>
      </c>
      <c r="J1240" s="396"/>
    </row>
    <row r="1241" spans="1:10" s="367" customFormat="1" ht="22.5" customHeight="1">
      <c r="A1241" s="395"/>
      <c r="B1241" s="401" t="s">
        <v>1345</v>
      </c>
      <c r="C1241" s="397">
        <v>1</v>
      </c>
      <c r="D1241" s="397">
        <v>1</v>
      </c>
      <c r="E1241" s="397">
        <v>2</v>
      </c>
      <c r="F1241" s="410">
        <v>1.9</v>
      </c>
      <c r="G1241" s="410">
        <v>1.35</v>
      </c>
      <c r="H1241" s="398">
        <v>7.4999999999999997E-2</v>
      </c>
      <c r="I1241" s="399">
        <f t="shared" si="47"/>
        <v>0.38</v>
      </c>
      <c r="J1241" s="396"/>
    </row>
    <row r="1242" spans="1:10" s="367" customFormat="1" ht="22.5" customHeight="1">
      <c r="A1242" s="395"/>
      <c r="B1242" s="401" t="s">
        <v>1345</v>
      </c>
      <c r="C1242" s="397">
        <v>1</v>
      </c>
      <c r="D1242" s="397">
        <v>2</v>
      </c>
      <c r="E1242" s="410">
        <v>0.5</v>
      </c>
      <c r="F1242" s="410">
        <v>1.25</v>
      </c>
      <c r="G1242" s="410">
        <v>1.84</v>
      </c>
      <c r="H1242" s="398">
        <v>7.4999999999999997E-2</v>
      </c>
      <c r="I1242" s="399">
        <f t="shared" si="47"/>
        <v>0.17</v>
      </c>
      <c r="J1242" s="396"/>
    </row>
    <row r="1243" spans="1:10" s="367" customFormat="1" ht="22.5" customHeight="1">
      <c r="A1243" s="395"/>
      <c r="B1243" s="401" t="s">
        <v>1346</v>
      </c>
      <c r="C1243" s="397">
        <v>1</v>
      </c>
      <c r="D1243" s="397">
        <v>1</v>
      </c>
      <c r="E1243" s="397">
        <v>5</v>
      </c>
      <c r="F1243" s="410">
        <v>14.16</v>
      </c>
      <c r="G1243" s="410">
        <v>8.9</v>
      </c>
      <c r="H1243" s="398">
        <v>7.4999999999999997E-2</v>
      </c>
      <c r="I1243" s="399">
        <f t="shared" si="47"/>
        <v>47.26</v>
      </c>
      <c r="J1243" s="396"/>
    </row>
    <row r="1244" spans="1:10" s="367" customFormat="1" ht="22.5" customHeight="1">
      <c r="A1244" s="395"/>
      <c r="B1244" s="401" t="s">
        <v>1347</v>
      </c>
      <c r="C1244" s="397">
        <v>1</v>
      </c>
      <c r="D1244" s="397">
        <v>1</v>
      </c>
      <c r="E1244" s="397">
        <v>5</v>
      </c>
      <c r="F1244" s="410">
        <v>3.23</v>
      </c>
      <c r="G1244" s="410">
        <v>2.36</v>
      </c>
      <c r="H1244" s="398">
        <v>7.4999999999999997E-2</v>
      </c>
      <c r="I1244" s="399">
        <f t="shared" si="47"/>
        <v>2.86</v>
      </c>
      <c r="J1244" s="396"/>
    </row>
    <row r="1245" spans="1:10" s="367" customFormat="1" ht="22.5" customHeight="1">
      <c r="A1245" s="395"/>
      <c r="B1245" s="401" t="s">
        <v>1348</v>
      </c>
      <c r="C1245" s="397">
        <v>1</v>
      </c>
      <c r="D1245" s="397">
        <v>1</v>
      </c>
      <c r="E1245" s="397">
        <v>1</v>
      </c>
      <c r="F1245" s="410">
        <v>12.26</v>
      </c>
      <c r="G1245" s="410">
        <v>1.8</v>
      </c>
      <c r="H1245" s="398">
        <v>7.4999999999999997E-2</v>
      </c>
      <c r="I1245" s="399">
        <f t="shared" si="47"/>
        <v>1.66</v>
      </c>
      <c r="J1245" s="396"/>
    </row>
    <row r="1246" spans="1:10" s="367" customFormat="1" ht="22.5" customHeight="1">
      <c r="A1246" s="395"/>
      <c r="B1246" s="401" t="s">
        <v>1349</v>
      </c>
      <c r="C1246" s="397">
        <v>1</v>
      </c>
      <c r="D1246" s="397">
        <v>1</v>
      </c>
      <c r="E1246" s="397">
        <v>1</v>
      </c>
      <c r="F1246" s="410">
        <v>13.81</v>
      </c>
      <c r="G1246" s="410">
        <v>1.8</v>
      </c>
      <c r="H1246" s="398">
        <v>7.4999999999999997E-2</v>
      </c>
      <c r="I1246" s="399">
        <f t="shared" si="47"/>
        <v>1.86</v>
      </c>
      <c r="J1246" s="396"/>
    </row>
    <row r="1247" spans="1:10" s="367" customFormat="1" ht="22.5" customHeight="1">
      <c r="A1247" s="395"/>
      <c r="B1247" s="401" t="s">
        <v>1350</v>
      </c>
      <c r="C1247" s="397">
        <v>1</v>
      </c>
      <c r="D1247" s="397">
        <v>1</v>
      </c>
      <c r="E1247" s="397">
        <v>2</v>
      </c>
      <c r="F1247" s="410">
        <v>2.14</v>
      </c>
      <c r="G1247" s="410">
        <v>0.98</v>
      </c>
      <c r="H1247" s="398">
        <v>7.4999999999999997E-2</v>
      </c>
      <c r="I1247" s="399">
        <f t="shared" si="47"/>
        <v>0.31</v>
      </c>
      <c r="J1247" s="396"/>
    </row>
    <row r="1248" spans="1:10" s="367" customFormat="1" ht="22.5" customHeight="1">
      <c r="A1248" s="395"/>
      <c r="B1248" s="401" t="s">
        <v>1351</v>
      </c>
      <c r="C1248" s="397">
        <v>1</v>
      </c>
      <c r="D1248" s="397">
        <v>1</v>
      </c>
      <c r="E1248" s="397">
        <v>1</v>
      </c>
      <c r="F1248" s="410">
        <v>1.39</v>
      </c>
      <c r="G1248" s="410">
        <v>2.36</v>
      </c>
      <c r="H1248" s="398">
        <v>7.4999999999999997E-2</v>
      </c>
      <c r="I1248" s="399">
        <f t="shared" si="47"/>
        <v>0.25</v>
      </c>
      <c r="J1248" s="396"/>
    </row>
    <row r="1249" spans="1:10" s="367" customFormat="1" ht="22.5" customHeight="1">
      <c r="A1249" s="395"/>
      <c r="B1249" s="401" t="s">
        <v>1351</v>
      </c>
      <c r="C1249" s="397">
        <v>1</v>
      </c>
      <c r="D1249" s="397">
        <v>1</v>
      </c>
      <c r="E1249" s="397">
        <v>1</v>
      </c>
      <c r="F1249" s="410">
        <v>3.85</v>
      </c>
      <c r="G1249" s="410">
        <v>2.36</v>
      </c>
      <c r="H1249" s="398">
        <v>7.4999999999999997E-2</v>
      </c>
      <c r="I1249" s="399">
        <f t="shared" si="47"/>
        <v>0.68</v>
      </c>
      <c r="J1249" s="396"/>
    </row>
    <row r="1250" spans="1:10" s="367" customFormat="1" ht="22.5" customHeight="1">
      <c r="A1250" s="395"/>
      <c r="B1250" s="401" t="s">
        <v>1352</v>
      </c>
      <c r="C1250" s="397">
        <v>1</v>
      </c>
      <c r="D1250" s="397">
        <v>1</v>
      </c>
      <c r="E1250" s="397">
        <v>2</v>
      </c>
      <c r="F1250" s="410">
        <v>1.32</v>
      </c>
      <c r="G1250" s="410">
        <v>1.17</v>
      </c>
      <c r="H1250" s="398">
        <v>7.4999999999999997E-2</v>
      </c>
      <c r="I1250" s="399">
        <f t="shared" si="47"/>
        <v>0.23</v>
      </c>
      <c r="J1250" s="396"/>
    </row>
    <row r="1251" spans="1:10" s="367" customFormat="1" ht="22.5" customHeight="1">
      <c r="A1251" s="395"/>
      <c r="B1251" s="401" t="s">
        <v>1351</v>
      </c>
      <c r="C1251" s="397">
        <v>1</v>
      </c>
      <c r="D1251" s="397">
        <v>1</v>
      </c>
      <c r="E1251" s="397">
        <v>1</v>
      </c>
      <c r="F1251" s="410">
        <v>1.99</v>
      </c>
      <c r="G1251" s="410">
        <v>1.27</v>
      </c>
      <c r="H1251" s="398">
        <v>7.4999999999999997E-2</v>
      </c>
      <c r="I1251" s="399">
        <f t="shared" si="47"/>
        <v>0.19</v>
      </c>
      <c r="J1251" s="396"/>
    </row>
    <row r="1252" spans="1:10" s="367" customFormat="1" ht="22.5" customHeight="1">
      <c r="A1252" s="395"/>
      <c r="B1252" s="401" t="s">
        <v>1353</v>
      </c>
      <c r="C1252" s="397">
        <v>1</v>
      </c>
      <c r="D1252" s="397">
        <v>1</v>
      </c>
      <c r="E1252" s="397">
        <v>1</v>
      </c>
      <c r="F1252" s="410">
        <v>2.85</v>
      </c>
      <c r="G1252" s="410">
        <v>8.9600000000000009</v>
      </c>
      <c r="H1252" s="398">
        <v>7.4999999999999997E-2</v>
      </c>
      <c r="I1252" s="399">
        <f t="shared" si="47"/>
        <v>1.92</v>
      </c>
      <c r="J1252" s="396"/>
    </row>
    <row r="1253" spans="1:10" s="367" customFormat="1" ht="22.5" customHeight="1">
      <c r="A1253" s="395"/>
      <c r="B1253" s="401" t="s">
        <v>1353</v>
      </c>
      <c r="C1253" s="397">
        <v>1</v>
      </c>
      <c r="D1253" s="397">
        <v>2</v>
      </c>
      <c r="E1253" s="410">
        <v>0.5</v>
      </c>
      <c r="F1253" s="410">
        <v>1.25</v>
      </c>
      <c r="G1253" s="410">
        <v>1.25</v>
      </c>
      <c r="H1253" s="398">
        <v>7.4999999999999997E-2</v>
      </c>
      <c r="I1253" s="399">
        <f t="shared" si="47"/>
        <v>0.12</v>
      </c>
      <c r="J1253" s="396"/>
    </row>
    <row r="1254" spans="1:10" s="367" customFormat="1" ht="22.5" customHeight="1">
      <c r="A1254" s="395"/>
      <c r="B1254" s="396" t="s">
        <v>1354</v>
      </c>
      <c r="C1254" s="397"/>
      <c r="D1254" s="397"/>
      <c r="E1254" s="410"/>
      <c r="F1254" s="410"/>
      <c r="G1254" s="410"/>
      <c r="H1254" s="398">
        <v>7.4999999999999997E-2</v>
      </c>
      <c r="I1254" s="399"/>
      <c r="J1254" s="396"/>
    </row>
    <row r="1255" spans="1:10" s="367" customFormat="1" ht="35.25" customHeight="1">
      <c r="A1255" s="395"/>
      <c r="B1255" s="401" t="s">
        <v>1355</v>
      </c>
      <c r="C1255" s="397">
        <v>1</v>
      </c>
      <c r="D1255" s="397">
        <v>1</v>
      </c>
      <c r="E1255" s="397">
        <v>2</v>
      </c>
      <c r="F1255" s="410">
        <v>19.39</v>
      </c>
      <c r="G1255" s="410">
        <v>0.15</v>
      </c>
      <c r="H1255" s="398">
        <v>7.4999999999999997E-2</v>
      </c>
      <c r="I1255" s="399">
        <f t="shared" ref="I1255:I1265" si="48">PRODUCT(C1255:H1255)</f>
        <v>0.44</v>
      </c>
      <c r="J1255" s="396"/>
    </row>
    <row r="1256" spans="1:10" s="367" customFormat="1" ht="22.5" customHeight="1">
      <c r="A1256" s="395"/>
      <c r="B1256" s="401" t="s">
        <v>1356</v>
      </c>
      <c r="C1256" s="397">
        <v>1</v>
      </c>
      <c r="D1256" s="397">
        <v>1</v>
      </c>
      <c r="E1256" s="397">
        <v>1</v>
      </c>
      <c r="F1256" s="410">
        <v>17.32</v>
      </c>
      <c r="G1256" s="410">
        <v>0.15</v>
      </c>
      <c r="H1256" s="398">
        <v>7.4999999999999997E-2</v>
      </c>
      <c r="I1256" s="399">
        <f t="shared" si="48"/>
        <v>0.19</v>
      </c>
      <c r="J1256" s="396"/>
    </row>
    <row r="1257" spans="1:10" s="367" customFormat="1" ht="22.5" customHeight="1">
      <c r="A1257" s="395"/>
      <c r="B1257" s="401" t="s">
        <v>1357</v>
      </c>
      <c r="C1257" s="397">
        <v>1</v>
      </c>
      <c r="D1257" s="397">
        <v>1</v>
      </c>
      <c r="E1257" s="397">
        <v>1</v>
      </c>
      <c r="F1257" s="410">
        <v>16.899999999999999</v>
      </c>
      <c r="G1257" s="410">
        <v>0.15</v>
      </c>
      <c r="H1257" s="398">
        <v>7.4999999999999997E-2</v>
      </c>
      <c r="I1257" s="399">
        <f t="shared" si="48"/>
        <v>0.19</v>
      </c>
      <c r="J1257" s="396"/>
    </row>
    <row r="1258" spans="1:10" s="367" customFormat="1" ht="33.75" customHeight="1">
      <c r="A1258" s="395"/>
      <c r="B1258" s="401" t="s">
        <v>1358</v>
      </c>
      <c r="C1258" s="397">
        <v>1</v>
      </c>
      <c r="D1258" s="397">
        <v>1</v>
      </c>
      <c r="E1258" s="397">
        <v>1</v>
      </c>
      <c r="F1258" s="410">
        <v>22.71</v>
      </c>
      <c r="G1258" s="410">
        <v>0.15</v>
      </c>
      <c r="H1258" s="398">
        <v>7.4999999999999997E-2</v>
      </c>
      <c r="I1258" s="399">
        <f t="shared" si="48"/>
        <v>0.26</v>
      </c>
      <c r="J1258" s="396"/>
    </row>
    <row r="1259" spans="1:10" s="367" customFormat="1" ht="22.5" customHeight="1">
      <c r="A1259" s="395"/>
      <c r="B1259" s="401" t="s">
        <v>1345</v>
      </c>
      <c r="C1259" s="397">
        <v>1</v>
      </c>
      <c r="D1259" s="397">
        <v>1</v>
      </c>
      <c r="E1259" s="397">
        <v>2</v>
      </c>
      <c r="F1259" s="410">
        <v>8.34</v>
      </c>
      <c r="G1259" s="410">
        <v>0.15</v>
      </c>
      <c r="H1259" s="398">
        <v>7.4999999999999997E-2</v>
      </c>
      <c r="I1259" s="399">
        <f t="shared" si="48"/>
        <v>0.19</v>
      </c>
      <c r="J1259" s="396"/>
    </row>
    <row r="1260" spans="1:10" s="367" customFormat="1" ht="21.75" customHeight="1">
      <c r="A1260" s="395"/>
      <c r="B1260" s="401" t="s">
        <v>1359</v>
      </c>
      <c r="C1260" s="397">
        <v>1</v>
      </c>
      <c r="D1260" s="397">
        <v>1</v>
      </c>
      <c r="E1260" s="397">
        <v>1</v>
      </c>
      <c r="F1260" s="410">
        <v>282.92</v>
      </c>
      <c r="G1260" s="410">
        <v>0.15</v>
      </c>
      <c r="H1260" s="398">
        <v>7.4999999999999997E-2</v>
      </c>
      <c r="I1260" s="399">
        <f t="shared" si="48"/>
        <v>3.18</v>
      </c>
      <c r="J1260" s="396"/>
    </row>
    <row r="1261" spans="1:10" s="367" customFormat="1" ht="22.5" customHeight="1">
      <c r="A1261" s="395"/>
      <c r="B1261" s="401" t="s">
        <v>303</v>
      </c>
      <c r="C1261" s="397">
        <v>1</v>
      </c>
      <c r="D1261" s="397">
        <v>1</v>
      </c>
      <c r="E1261" s="397">
        <v>2</v>
      </c>
      <c r="F1261" s="410">
        <v>1.36</v>
      </c>
      <c r="G1261" s="410">
        <v>0.15</v>
      </c>
      <c r="H1261" s="398">
        <v>7.4999999999999997E-2</v>
      </c>
      <c r="I1261" s="399">
        <f t="shared" si="48"/>
        <v>0.03</v>
      </c>
      <c r="J1261" s="396"/>
    </row>
    <row r="1262" spans="1:10" s="367" customFormat="1" ht="22.5" customHeight="1">
      <c r="A1262" s="395"/>
      <c r="B1262" s="401" t="s">
        <v>1360</v>
      </c>
      <c r="C1262" s="397">
        <v>1</v>
      </c>
      <c r="D1262" s="397">
        <v>1</v>
      </c>
      <c r="E1262" s="397">
        <v>2</v>
      </c>
      <c r="F1262" s="410">
        <v>1.66</v>
      </c>
      <c r="G1262" s="410">
        <v>0.15</v>
      </c>
      <c r="H1262" s="398">
        <v>7.4999999999999997E-2</v>
      </c>
      <c r="I1262" s="399">
        <f t="shared" si="48"/>
        <v>0.04</v>
      </c>
      <c r="J1262" s="396"/>
    </row>
    <row r="1263" spans="1:10" s="367" customFormat="1" ht="22.5" customHeight="1">
      <c r="A1263" s="395"/>
      <c r="B1263" s="401" t="s">
        <v>1360</v>
      </c>
      <c r="C1263" s="397">
        <v>1</v>
      </c>
      <c r="D1263" s="397">
        <v>2</v>
      </c>
      <c r="E1263" s="397">
        <v>5</v>
      </c>
      <c r="F1263" s="410">
        <v>0.37</v>
      </c>
      <c r="G1263" s="410">
        <v>0.15</v>
      </c>
      <c r="H1263" s="398">
        <v>7.4999999999999997E-2</v>
      </c>
      <c r="I1263" s="399">
        <f t="shared" si="48"/>
        <v>0.04</v>
      </c>
      <c r="J1263" s="396"/>
    </row>
    <row r="1264" spans="1:10" s="367" customFormat="1" ht="22.5" customHeight="1">
      <c r="A1264" s="395"/>
      <c r="B1264" s="401" t="s">
        <v>302</v>
      </c>
      <c r="C1264" s="397">
        <v>1</v>
      </c>
      <c r="D1264" s="397">
        <v>1</v>
      </c>
      <c r="E1264" s="397">
        <v>7</v>
      </c>
      <c r="F1264" s="410">
        <v>1.96</v>
      </c>
      <c r="G1264" s="410">
        <v>0.15</v>
      </c>
      <c r="H1264" s="398">
        <v>7.4999999999999997E-2</v>
      </c>
      <c r="I1264" s="399">
        <f t="shared" si="48"/>
        <v>0.15</v>
      </c>
      <c r="J1264" s="396"/>
    </row>
    <row r="1265" spans="1:30" s="367" customFormat="1" ht="22.5" customHeight="1">
      <c r="A1265" s="395"/>
      <c r="B1265" s="401" t="s">
        <v>301</v>
      </c>
      <c r="C1265" s="397">
        <v>1</v>
      </c>
      <c r="D1265" s="397">
        <v>1</v>
      </c>
      <c r="E1265" s="397">
        <v>15</v>
      </c>
      <c r="F1265" s="410">
        <v>2.2599999999999998</v>
      </c>
      <c r="G1265" s="410">
        <v>0.15</v>
      </c>
      <c r="H1265" s="398">
        <v>7.4999999999999997E-2</v>
      </c>
      <c r="I1265" s="399">
        <f t="shared" si="48"/>
        <v>0.38</v>
      </c>
      <c r="J1265" s="396"/>
    </row>
    <row r="1266" spans="1:30" s="367" customFormat="1" ht="22.5" customHeight="1">
      <c r="A1266" s="395"/>
      <c r="B1266" s="396" t="s">
        <v>944</v>
      </c>
      <c r="C1266" s="397"/>
      <c r="D1266" s="397"/>
      <c r="E1266" s="397"/>
      <c r="F1266" s="410"/>
      <c r="G1266" s="410"/>
      <c r="H1266" s="398">
        <v>7.4999999999999997E-2</v>
      </c>
      <c r="I1266" s="399"/>
      <c r="J1266" s="396"/>
    </row>
    <row r="1267" spans="1:30" s="367" customFormat="1" ht="22.5" customHeight="1">
      <c r="A1267" s="395"/>
      <c r="B1267" s="401" t="s">
        <v>512</v>
      </c>
      <c r="C1267" s="397">
        <v>-1</v>
      </c>
      <c r="D1267" s="397">
        <v>1</v>
      </c>
      <c r="E1267" s="397">
        <v>10</v>
      </c>
      <c r="F1267" s="410">
        <v>1.22</v>
      </c>
      <c r="G1267" s="410">
        <v>1.43</v>
      </c>
      <c r="H1267" s="398">
        <v>7.4999999999999997E-2</v>
      </c>
      <c r="I1267" s="399">
        <f t="shared" ref="I1267:I1273" si="49">PRODUCT(C1267:H1267)</f>
        <v>-1.31</v>
      </c>
      <c r="J1267" s="396"/>
    </row>
    <row r="1268" spans="1:30" s="367" customFormat="1" ht="22.5" customHeight="1">
      <c r="A1268" s="395"/>
      <c r="B1268" s="401" t="s">
        <v>303</v>
      </c>
      <c r="C1268" s="397">
        <v>-1</v>
      </c>
      <c r="D1268" s="397">
        <v>1</v>
      </c>
      <c r="E1268" s="397">
        <v>2</v>
      </c>
      <c r="F1268" s="410">
        <v>0.45</v>
      </c>
      <c r="G1268" s="410">
        <v>0.23</v>
      </c>
      <c r="H1268" s="398">
        <v>7.4999999999999997E-2</v>
      </c>
      <c r="I1268" s="399">
        <f t="shared" si="49"/>
        <v>-0.02</v>
      </c>
      <c r="J1268" s="396"/>
    </row>
    <row r="1269" spans="1:30" s="367" customFormat="1" ht="22.5" customHeight="1">
      <c r="A1269" s="395"/>
      <c r="B1269" s="401" t="s">
        <v>1360</v>
      </c>
      <c r="C1269" s="397">
        <v>-1</v>
      </c>
      <c r="D1269" s="397">
        <v>1</v>
      </c>
      <c r="E1269" s="397">
        <v>2</v>
      </c>
      <c r="F1269" s="410">
        <v>0.6</v>
      </c>
      <c r="G1269" s="410">
        <v>0.23</v>
      </c>
      <c r="H1269" s="398">
        <v>7.4999999999999997E-2</v>
      </c>
      <c r="I1269" s="399">
        <f t="shared" si="49"/>
        <v>-0.02</v>
      </c>
      <c r="J1269" s="396"/>
    </row>
    <row r="1270" spans="1:30" s="367" customFormat="1" ht="22.5" customHeight="1">
      <c r="A1270" s="395"/>
      <c r="B1270" s="401" t="s">
        <v>1360</v>
      </c>
      <c r="C1270" s="397">
        <v>-1</v>
      </c>
      <c r="D1270" s="397">
        <v>1</v>
      </c>
      <c r="E1270" s="397">
        <v>5</v>
      </c>
      <c r="F1270" s="410">
        <v>0.37</v>
      </c>
      <c r="G1270" s="410">
        <v>0.23</v>
      </c>
      <c r="H1270" s="398">
        <v>7.4999999999999997E-2</v>
      </c>
      <c r="I1270" s="399">
        <f t="shared" si="49"/>
        <v>-0.03</v>
      </c>
      <c r="J1270" s="396"/>
    </row>
    <row r="1271" spans="1:30" s="367" customFormat="1" ht="22.5" customHeight="1">
      <c r="A1271" s="395"/>
      <c r="B1271" s="401" t="s">
        <v>302</v>
      </c>
      <c r="C1271" s="397">
        <v>-1</v>
      </c>
      <c r="D1271" s="397">
        <v>1</v>
      </c>
      <c r="E1271" s="397">
        <v>7</v>
      </c>
      <c r="F1271" s="410">
        <v>0.75</v>
      </c>
      <c r="G1271" s="410">
        <v>0.23</v>
      </c>
      <c r="H1271" s="398">
        <v>7.4999999999999997E-2</v>
      </c>
      <c r="I1271" s="399">
        <f t="shared" si="49"/>
        <v>-0.09</v>
      </c>
      <c r="J1271" s="396"/>
    </row>
    <row r="1272" spans="1:30" s="367" customFormat="1" ht="22.5" customHeight="1">
      <c r="A1272" s="395"/>
      <c r="B1272" s="401" t="s">
        <v>302</v>
      </c>
      <c r="C1272" s="397">
        <v>-1</v>
      </c>
      <c r="D1272" s="397">
        <v>1</v>
      </c>
      <c r="E1272" s="397">
        <v>1</v>
      </c>
      <c r="F1272" s="410">
        <v>0.52</v>
      </c>
      <c r="G1272" s="410">
        <v>0.23</v>
      </c>
      <c r="H1272" s="398">
        <v>7.4999999999999997E-2</v>
      </c>
      <c r="I1272" s="399">
        <f t="shared" si="49"/>
        <v>-0.01</v>
      </c>
      <c r="J1272" s="396"/>
    </row>
    <row r="1273" spans="1:30" s="367" customFormat="1" ht="22.5" customHeight="1">
      <c r="A1273" s="395"/>
      <c r="B1273" s="401" t="s">
        <v>301</v>
      </c>
      <c r="C1273" s="397">
        <v>-1</v>
      </c>
      <c r="D1273" s="397">
        <v>1</v>
      </c>
      <c r="E1273" s="397">
        <v>15</v>
      </c>
      <c r="F1273" s="410">
        <v>0.9</v>
      </c>
      <c r="G1273" s="410">
        <v>0.23</v>
      </c>
      <c r="H1273" s="398">
        <v>7.4999999999999997E-2</v>
      </c>
      <c r="I1273" s="399">
        <f t="shared" si="49"/>
        <v>-0.23</v>
      </c>
      <c r="J1273" s="396"/>
    </row>
    <row r="1274" spans="1:30" s="33" customFormat="1" ht="20.25" customHeight="1">
      <c r="A1274" s="294"/>
      <c r="B1274" s="293"/>
      <c r="C1274" s="294"/>
      <c r="D1274" s="280"/>
      <c r="E1274" s="294"/>
      <c r="F1274" s="338"/>
      <c r="G1274" s="338"/>
      <c r="H1274" s="404"/>
      <c r="I1274" s="339">
        <f>SUM(I1225:I1273)</f>
        <v>268.31</v>
      </c>
      <c r="J1274" s="340"/>
      <c r="K1274" s="39"/>
      <c r="L1274" s="39"/>
      <c r="M1274" s="39"/>
      <c r="N1274" s="34"/>
      <c r="O1274" s="34"/>
      <c r="P1274" s="34"/>
      <c r="Q1274" s="34"/>
      <c r="R1274" s="34"/>
      <c r="S1274" s="34"/>
      <c r="T1274" s="34"/>
      <c r="U1274" s="34"/>
      <c r="V1274" s="34"/>
      <c r="W1274" s="34"/>
      <c r="X1274" s="34"/>
      <c r="Y1274" s="34"/>
      <c r="Z1274" s="34"/>
      <c r="AA1274" s="34"/>
      <c r="AB1274" s="34"/>
      <c r="AC1274" s="34"/>
      <c r="AD1274" s="34"/>
    </row>
    <row r="1275" spans="1:30" s="33" customFormat="1" ht="20.25" customHeight="1">
      <c r="A1275" s="294"/>
      <c r="B1275" s="293"/>
      <c r="C1275" s="294"/>
      <c r="D1275" s="280"/>
      <c r="E1275" s="294"/>
      <c r="F1275" s="338"/>
      <c r="G1275" s="338"/>
      <c r="H1275" s="404" t="s">
        <v>55</v>
      </c>
      <c r="I1275" s="416">
        <f>ROUNDUP(I1274,1)</f>
        <v>268.39999999999998</v>
      </c>
      <c r="J1275" s="343" t="s">
        <v>21</v>
      </c>
      <c r="K1275" s="44"/>
      <c r="L1275" s="44"/>
      <c r="M1275" s="44"/>
      <c r="N1275" s="34"/>
      <c r="O1275" s="34"/>
      <c r="P1275" s="34"/>
      <c r="Q1275" s="34"/>
      <c r="R1275" s="34"/>
      <c r="S1275" s="34"/>
      <c r="T1275" s="34"/>
      <c r="U1275" s="34"/>
      <c r="V1275" s="34"/>
      <c r="W1275" s="34"/>
      <c r="X1275" s="34"/>
      <c r="Y1275" s="34"/>
      <c r="Z1275" s="34"/>
      <c r="AA1275" s="34"/>
      <c r="AB1275" s="34"/>
      <c r="AC1275" s="34"/>
      <c r="AD1275" s="34"/>
    </row>
    <row r="1276" spans="1:30" s="128" customFormat="1" ht="46.5" customHeight="1">
      <c r="A1276" s="294">
        <v>32.1</v>
      </c>
      <c r="B1276" s="409" t="s">
        <v>1313</v>
      </c>
      <c r="C1276" s="346"/>
      <c r="D1276" s="280"/>
      <c r="E1276" s="346"/>
      <c r="F1276" s="337"/>
      <c r="G1276" s="337"/>
      <c r="H1276" s="337"/>
      <c r="I1276" s="347"/>
      <c r="J1276" s="284"/>
      <c r="K1276" s="274"/>
      <c r="L1276" s="274"/>
      <c r="M1276" s="274"/>
      <c r="N1276" s="129"/>
      <c r="O1276" s="129"/>
      <c r="P1276" s="129"/>
      <c r="Q1276" s="129"/>
      <c r="R1276" s="129"/>
      <c r="S1276" s="129"/>
      <c r="T1276" s="129"/>
      <c r="U1276" s="129"/>
      <c r="V1276" s="129"/>
      <c r="W1276" s="129"/>
      <c r="X1276" s="129"/>
      <c r="Y1276" s="129"/>
      <c r="Z1276" s="129"/>
      <c r="AA1276" s="129"/>
      <c r="AB1276" s="129"/>
      <c r="AC1276" s="129"/>
      <c r="AD1276" s="129"/>
    </row>
    <row r="1277" spans="1:30" s="400" customFormat="1" ht="22.5" customHeight="1">
      <c r="A1277" s="395"/>
      <c r="B1277" s="396" t="s">
        <v>1340</v>
      </c>
      <c r="C1277" s="397"/>
      <c r="D1277" s="397"/>
      <c r="E1277" s="397"/>
      <c r="F1277" s="410"/>
      <c r="G1277" s="410"/>
      <c r="H1277" s="410"/>
      <c r="I1277" s="399"/>
      <c r="J1277" s="396"/>
    </row>
    <row r="1278" spans="1:30" s="400" customFormat="1" ht="22.5" customHeight="1">
      <c r="A1278" s="395"/>
      <c r="B1278" s="279" t="s">
        <v>1601</v>
      </c>
      <c r="C1278" s="280">
        <v>1</v>
      </c>
      <c r="D1278" s="280">
        <v>1</v>
      </c>
      <c r="E1278" s="280">
        <v>5</v>
      </c>
      <c r="F1278" s="282">
        <v>14.61</v>
      </c>
      <c r="G1278" s="281">
        <v>8.8949999999999996</v>
      </c>
      <c r="H1278" s="282"/>
      <c r="I1278" s="283">
        <f t="shared" ref="I1278:I1296" si="50">PRODUCT(C1278:H1278)</f>
        <v>649.78</v>
      </c>
      <c r="J1278" s="396"/>
    </row>
    <row r="1279" spans="1:30" s="400" customFormat="1" ht="22.5" customHeight="1">
      <c r="A1279" s="395"/>
      <c r="B1279" s="279" t="s">
        <v>1602</v>
      </c>
      <c r="C1279" s="280">
        <v>1</v>
      </c>
      <c r="D1279" s="280">
        <v>1</v>
      </c>
      <c r="E1279" s="280">
        <v>5</v>
      </c>
      <c r="F1279" s="282">
        <v>47.01</v>
      </c>
      <c r="G1279" s="281"/>
      <c r="H1279" s="282">
        <v>0.15</v>
      </c>
      <c r="I1279" s="283">
        <f t="shared" si="50"/>
        <v>35.26</v>
      </c>
      <c r="J1279" s="396"/>
    </row>
    <row r="1280" spans="1:30" s="400" customFormat="1" ht="22.5" customHeight="1">
      <c r="A1280" s="395"/>
      <c r="B1280" s="279" t="s">
        <v>138</v>
      </c>
      <c r="C1280" s="280">
        <v>-1</v>
      </c>
      <c r="D1280" s="280">
        <v>1</v>
      </c>
      <c r="E1280" s="280">
        <v>5</v>
      </c>
      <c r="F1280" s="282">
        <v>2.6</v>
      </c>
      <c r="G1280" s="281"/>
      <c r="H1280" s="282">
        <v>0.15</v>
      </c>
      <c r="I1280" s="283">
        <f t="shared" si="50"/>
        <v>-1.95</v>
      </c>
      <c r="J1280" s="396"/>
    </row>
    <row r="1281" spans="1:10" s="400" customFormat="1" ht="22.5" customHeight="1">
      <c r="A1281" s="395"/>
      <c r="B1281" s="279" t="s">
        <v>138</v>
      </c>
      <c r="C1281" s="280">
        <v>-1</v>
      </c>
      <c r="D1281" s="280">
        <v>1</v>
      </c>
      <c r="E1281" s="280">
        <v>1</v>
      </c>
      <c r="F1281" s="281">
        <v>1.905</v>
      </c>
      <c r="G1281" s="281"/>
      <c r="H1281" s="282">
        <v>0.15</v>
      </c>
      <c r="I1281" s="283">
        <f t="shared" si="50"/>
        <v>-0.28999999999999998</v>
      </c>
      <c r="J1281" s="396"/>
    </row>
    <row r="1282" spans="1:10" s="400" customFormat="1" ht="22.5" customHeight="1">
      <c r="A1282" s="395"/>
      <c r="B1282" s="279" t="s">
        <v>1603</v>
      </c>
      <c r="C1282" s="280">
        <v>1</v>
      </c>
      <c r="D1282" s="280">
        <v>1</v>
      </c>
      <c r="E1282" s="280">
        <v>2</v>
      </c>
      <c r="F1282" s="281">
        <v>2.36</v>
      </c>
      <c r="G1282" s="281">
        <v>3.23</v>
      </c>
      <c r="H1282" s="282"/>
      <c r="I1282" s="283">
        <f t="shared" si="50"/>
        <v>15.25</v>
      </c>
      <c r="J1282" s="396"/>
    </row>
    <row r="1283" spans="1:10" s="400" customFormat="1" ht="22.5" customHeight="1">
      <c r="A1283" s="395"/>
      <c r="B1283" s="279" t="s">
        <v>1604</v>
      </c>
      <c r="C1283" s="280">
        <v>1</v>
      </c>
      <c r="D1283" s="280">
        <v>2</v>
      </c>
      <c r="E1283" s="280">
        <v>2</v>
      </c>
      <c r="F1283" s="281">
        <v>2.36</v>
      </c>
      <c r="G1283" s="281"/>
      <c r="H1283" s="282">
        <v>0.15</v>
      </c>
      <c r="I1283" s="283">
        <f t="shared" si="50"/>
        <v>1.42</v>
      </c>
      <c r="J1283" s="396"/>
    </row>
    <row r="1284" spans="1:10" s="400" customFormat="1" ht="22.5" customHeight="1">
      <c r="A1284" s="395"/>
      <c r="B1284" s="279" t="s">
        <v>1605</v>
      </c>
      <c r="C1284" s="280">
        <v>1</v>
      </c>
      <c r="D1284" s="280">
        <v>1</v>
      </c>
      <c r="E1284" s="280">
        <v>3</v>
      </c>
      <c r="F1284" s="281">
        <v>2.85</v>
      </c>
      <c r="G1284" s="282">
        <v>1.32</v>
      </c>
      <c r="H1284" s="282"/>
      <c r="I1284" s="283">
        <f t="shared" si="50"/>
        <v>11.29</v>
      </c>
      <c r="J1284" s="396"/>
    </row>
    <row r="1285" spans="1:10" s="400" customFormat="1" ht="22.5" customHeight="1">
      <c r="A1285" s="395"/>
      <c r="B1285" s="279" t="s">
        <v>1606</v>
      </c>
      <c r="C1285" s="280">
        <v>1</v>
      </c>
      <c r="D1285" s="280">
        <v>2</v>
      </c>
      <c r="E1285" s="280">
        <v>3</v>
      </c>
      <c r="F1285" s="282">
        <v>1.32</v>
      </c>
      <c r="G1285" s="281"/>
      <c r="H1285" s="282">
        <v>0.15</v>
      </c>
      <c r="I1285" s="283">
        <f t="shared" si="50"/>
        <v>1.19</v>
      </c>
      <c r="J1285" s="396"/>
    </row>
    <row r="1286" spans="1:10" s="400" customFormat="1" ht="22.5" customHeight="1">
      <c r="A1286" s="395"/>
      <c r="B1286" s="279" t="s">
        <v>1605</v>
      </c>
      <c r="C1286" s="280">
        <v>1</v>
      </c>
      <c r="D1286" s="280">
        <v>1</v>
      </c>
      <c r="E1286" s="280">
        <v>3</v>
      </c>
      <c r="F1286" s="281">
        <v>0.93200000000000005</v>
      </c>
      <c r="G1286" s="281">
        <v>1.5</v>
      </c>
      <c r="H1286" s="282"/>
      <c r="I1286" s="283">
        <f t="shared" si="50"/>
        <v>4.1900000000000004</v>
      </c>
      <c r="J1286" s="396"/>
    </row>
    <row r="1287" spans="1:10" s="400" customFormat="1" ht="22.5" customHeight="1">
      <c r="A1287" s="395"/>
      <c r="B1287" s="279" t="s">
        <v>1606</v>
      </c>
      <c r="C1287" s="280">
        <v>1</v>
      </c>
      <c r="D1287" s="280">
        <v>2</v>
      </c>
      <c r="E1287" s="280">
        <v>3</v>
      </c>
      <c r="F1287" s="281">
        <v>0.93200000000000005</v>
      </c>
      <c r="G1287" s="281"/>
      <c r="H1287" s="282">
        <v>0.15</v>
      </c>
      <c r="I1287" s="283">
        <f t="shared" si="50"/>
        <v>0.84</v>
      </c>
      <c r="J1287" s="396"/>
    </row>
    <row r="1288" spans="1:10" s="400" customFormat="1" ht="22.5" customHeight="1">
      <c r="A1288" s="395"/>
      <c r="B1288" s="279" t="s">
        <v>539</v>
      </c>
      <c r="C1288" s="280">
        <v>1</v>
      </c>
      <c r="D1288" s="280">
        <v>1</v>
      </c>
      <c r="E1288" s="280">
        <v>1</v>
      </c>
      <c r="F1288" s="282">
        <v>20.02</v>
      </c>
      <c r="G1288" s="282">
        <v>8.39</v>
      </c>
      <c r="H1288" s="282"/>
      <c r="I1288" s="411">
        <f t="shared" si="50"/>
        <v>167.96799999999999</v>
      </c>
      <c r="J1288" s="396"/>
    </row>
    <row r="1289" spans="1:10" s="400" customFormat="1" ht="22.5" customHeight="1">
      <c r="A1289" s="395"/>
      <c r="B1289" s="279" t="s">
        <v>1607</v>
      </c>
      <c r="C1289" s="280">
        <v>-1</v>
      </c>
      <c r="D1289" s="280">
        <v>1</v>
      </c>
      <c r="E1289" s="280">
        <v>5</v>
      </c>
      <c r="F1289" s="282">
        <v>3.56</v>
      </c>
      <c r="G1289" s="282">
        <v>2.36</v>
      </c>
      <c r="H1289" s="282"/>
      <c r="I1289" s="411">
        <f t="shared" si="50"/>
        <v>-42.008000000000003</v>
      </c>
      <c r="J1289" s="396"/>
    </row>
    <row r="1290" spans="1:10" s="400" customFormat="1" ht="22.5" customHeight="1">
      <c r="A1290" s="395"/>
      <c r="B1290" s="279" t="s">
        <v>1608</v>
      </c>
      <c r="C1290" s="280">
        <v>1</v>
      </c>
      <c r="D1290" s="280">
        <v>1</v>
      </c>
      <c r="E1290" s="280">
        <v>5</v>
      </c>
      <c r="F1290" s="281">
        <v>11.84</v>
      </c>
      <c r="G1290" s="281"/>
      <c r="H1290" s="282">
        <v>0.15</v>
      </c>
      <c r="I1290" s="411">
        <f t="shared" si="50"/>
        <v>8.8800000000000008</v>
      </c>
      <c r="J1290" s="396"/>
    </row>
    <row r="1291" spans="1:10" s="400" customFormat="1" ht="22.5" customHeight="1">
      <c r="A1291" s="395"/>
      <c r="B1291" s="279" t="s">
        <v>1609</v>
      </c>
      <c r="C1291" s="280">
        <v>1</v>
      </c>
      <c r="D1291" s="280">
        <v>1</v>
      </c>
      <c r="E1291" s="280">
        <v>5</v>
      </c>
      <c r="F1291" s="281">
        <v>4.21</v>
      </c>
      <c r="G1291" s="281"/>
      <c r="H1291" s="282">
        <v>0.15</v>
      </c>
      <c r="I1291" s="411">
        <f t="shared" si="50"/>
        <v>3.1579999999999999</v>
      </c>
      <c r="J1291" s="396"/>
    </row>
    <row r="1292" spans="1:10" s="400" customFormat="1" ht="22.5" customHeight="1">
      <c r="A1292" s="395"/>
      <c r="B1292" s="279" t="s">
        <v>1610</v>
      </c>
      <c r="C1292" s="280">
        <v>1</v>
      </c>
      <c r="D1292" s="280">
        <v>1</v>
      </c>
      <c r="E1292" s="280">
        <v>2</v>
      </c>
      <c r="F1292" s="281">
        <v>6.1150000000000002</v>
      </c>
      <c r="G1292" s="281"/>
      <c r="H1292" s="282">
        <v>0.15</v>
      </c>
      <c r="I1292" s="411">
        <f t="shared" si="50"/>
        <v>1.835</v>
      </c>
      <c r="J1292" s="396"/>
    </row>
    <row r="1293" spans="1:10" s="400" customFormat="1" ht="22.5" customHeight="1">
      <c r="A1293" s="395"/>
      <c r="B1293" s="279" t="s">
        <v>1611</v>
      </c>
      <c r="C1293" s="280">
        <v>1</v>
      </c>
      <c r="D1293" s="280">
        <v>1</v>
      </c>
      <c r="E1293" s="280">
        <v>1</v>
      </c>
      <c r="F1293" s="281">
        <v>2.76</v>
      </c>
      <c r="G1293" s="282">
        <v>1.72</v>
      </c>
      <c r="H1293" s="282"/>
      <c r="I1293" s="411">
        <f t="shared" si="50"/>
        <v>4.7469999999999999</v>
      </c>
      <c r="J1293" s="396"/>
    </row>
    <row r="1294" spans="1:10" s="400" customFormat="1" ht="22.5" customHeight="1">
      <c r="A1294" s="395"/>
      <c r="B1294" s="279" t="s">
        <v>1611</v>
      </c>
      <c r="C1294" s="280">
        <v>1</v>
      </c>
      <c r="D1294" s="280">
        <v>1</v>
      </c>
      <c r="E1294" s="280">
        <v>1</v>
      </c>
      <c r="F1294" s="281">
        <v>1.917</v>
      </c>
      <c r="G1294" s="282">
        <v>1.5</v>
      </c>
      <c r="H1294" s="282"/>
      <c r="I1294" s="411">
        <f t="shared" si="50"/>
        <v>2.8759999999999999</v>
      </c>
      <c r="J1294" s="396"/>
    </row>
    <row r="1295" spans="1:10" s="400" customFormat="1" ht="22.5" customHeight="1">
      <c r="A1295" s="395"/>
      <c r="B1295" s="279" t="s">
        <v>1612</v>
      </c>
      <c r="C1295" s="280">
        <v>1</v>
      </c>
      <c r="D1295" s="280">
        <v>1</v>
      </c>
      <c r="E1295" s="280">
        <v>1</v>
      </c>
      <c r="F1295" s="281">
        <f>1.72+2.285+1.184</f>
        <v>5.1890000000000001</v>
      </c>
      <c r="G1295" s="281"/>
      <c r="H1295" s="282">
        <v>0.15</v>
      </c>
      <c r="I1295" s="411">
        <f t="shared" si="50"/>
        <v>0.77800000000000002</v>
      </c>
      <c r="J1295" s="396"/>
    </row>
    <row r="1296" spans="1:10" s="400" customFormat="1" ht="22.5" customHeight="1">
      <c r="A1296" s="395"/>
      <c r="B1296" s="279" t="s">
        <v>1612</v>
      </c>
      <c r="C1296" s="280">
        <v>1</v>
      </c>
      <c r="D1296" s="280">
        <v>1</v>
      </c>
      <c r="E1296" s="280">
        <v>1</v>
      </c>
      <c r="F1296" s="281">
        <f>1+1.917</f>
        <v>2.9169999999999998</v>
      </c>
      <c r="G1296" s="281"/>
      <c r="H1296" s="282">
        <v>0.15</v>
      </c>
      <c r="I1296" s="411">
        <f t="shared" si="50"/>
        <v>0.438</v>
      </c>
      <c r="J1296" s="396"/>
    </row>
    <row r="1297" spans="1:30" s="400" customFormat="1" ht="22.5" customHeight="1">
      <c r="A1297" s="395"/>
      <c r="B1297" s="286" t="s">
        <v>1613</v>
      </c>
      <c r="C1297" s="280"/>
      <c r="D1297" s="280"/>
      <c r="E1297" s="280"/>
      <c r="F1297" s="282"/>
      <c r="G1297" s="282"/>
      <c r="H1297" s="282"/>
      <c r="I1297" s="283"/>
      <c r="J1297" s="396"/>
    </row>
    <row r="1298" spans="1:30" s="400" customFormat="1" ht="22.5" customHeight="1">
      <c r="A1298" s="395"/>
      <c r="B1298" s="279" t="s">
        <v>1614</v>
      </c>
      <c r="C1298" s="280">
        <v>1</v>
      </c>
      <c r="D1298" s="280">
        <v>1</v>
      </c>
      <c r="E1298" s="280">
        <v>3</v>
      </c>
      <c r="F1298" s="282">
        <v>5.5</v>
      </c>
      <c r="G1298" s="282">
        <v>2.85</v>
      </c>
      <c r="H1298" s="282"/>
      <c r="I1298" s="283">
        <f t="shared" ref="I1298:I1307" si="51">PRODUCT(C1298:H1298)</f>
        <v>47.03</v>
      </c>
      <c r="J1298" s="396"/>
    </row>
    <row r="1299" spans="1:30" s="400" customFormat="1" ht="22.5" customHeight="1">
      <c r="A1299" s="395"/>
      <c r="B1299" s="279" t="s">
        <v>1615</v>
      </c>
      <c r="C1299" s="280">
        <v>1</v>
      </c>
      <c r="D1299" s="280">
        <v>3</v>
      </c>
      <c r="E1299" s="280">
        <v>2</v>
      </c>
      <c r="F1299" s="282">
        <v>13.85</v>
      </c>
      <c r="G1299" s="282"/>
      <c r="H1299" s="282">
        <v>0.15</v>
      </c>
      <c r="I1299" s="283">
        <f t="shared" si="51"/>
        <v>12.47</v>
      </c>
      <c r="J1299" s="396"/>
    </row>
    <row r="1300" spans="1:30" s="400" customFormat="1" ht="35.25" customHeight="1">
      <c r="A1300" s="395"/>
      <c r="B1300" s="279" t="s">
        <v>1605</v>
      </c>
      <c r="C1300" s="280">
        <v>1</v>
      </c>
      <c r="D1300" s="280">
        <v>1</v>
      </c>
      <c r="E1300" s="280">
        <v>3</v>
      </c>
      <c r="F1300" s="281">
        <v>2.85</v>
      </c>
      <c r="G1300" s="282">
        <v>1.32</v>
      </c>
      <c r="H1300" s="282"/>
      <c r="I1300" s="283">
        <f t="shared" si="51"/>
        <v>11.29</v>
      </c>
      <c r="J1300" s="396"/>
    </row>
    <row r="1301" spans="1:30" s="400" customFormat="1" ht="22.5" customHeight="1">
      <c r="A1301" s="395"/>
      <c r="B1301" s="279" t="s">
        <v>1606</v>
      </c>
      <c r="C1301" s="280">
        <v>1</v>
      </c>
      <c r="D1301" s="280">
        <v>2</v>
      </c>
      <c r="E1301" s="280">
        <v>3</v>
      </c>
      <c r="F1301" s="282">
        <v>1.32</v>
      </c>
      <c r="G1301" s="281"/>
      <c r="H1301" s="282">
        <v>0.15</v>
      </c>
      <c r="I1301" s="283">
        <f t="shared" si="51"/>
        <v>1.19</v>
      </c>
      <c r="J1301" s="396"/>
    </row>
    <row r="1302" spans="1:30" s="400" customFormat="1" ht="22.5" customHeight="1">
      <c r="A1302" s="395"/>
      <c r="B1302" s="279" t="s">
        <v>1605</v>
      </c>
      <c r="C1302" s="280">
        <v>1</v>
      </c>
      <c r="D1302" s="280">
        <v>1</v>
      </c>
      <c r="E1302" s="280">
        <v>3</v>
      </c>
      <c r="F1302" s="281">
        <v>0.93200000000000005</v>
      </c>
      <c r="G1302" s="281">
        <v>1.5</v>
      </c>
      <c r="H1302" s="282"/>
      <c r="I1302" s="283">
        <f t="shared" si="51"/>
        <v>4.1900000000000004</v>
      </c>
      <c r="J1302" s="396"/>
    </row>
    <row r="1303" spans="1:30" s="400" customFormat="1" ht="33.75" customHeight="1">
      <c r="A1303" s="395"/>
      <c r="B1303" s="279" t="s">
        <v>1606</v>
      </c>
      <c r="C1303" s="280">
        <v>1</v>
      </c>
      <c r="D1303" s="280">
        <v>2</v>
      </c>
      <c r="E1303" s="280">
        <v>3</v>
      </c>
      <c r="F1303" s="281">
        <v>0.93200000000000005</v>
      </c>
      <c r="G1303" s="281"/>
      <c r="H1303" s="282">
        <v>0.15</v>
      </c>
      <c r="I1303" s="283">
        <f t="shared" si="51"/>
        <v>0.84</v>
      </c>
      <c r="J1303" s="396"/>
    </row>
    <row r="1304" spans="1:30" s="400" customFormat="1" ht="22.5" customHeight="1">
      <c r="A1304" s="395"/>
      <c r="B1304" s="279" t="s">
        <v>1616</v>
      </c>
      <c r="C1304" s="280">
        <v>1</v>
      </c>
      <c r="D1304" s="280">
        <v>1</v>
      </c>
      <c r="E1304" s="280">
        <v>2</v>
      </c>
      <c r="F1304" s="282">
        <v>2.6</v>
      </c>
      <c r="G1304" s="281">
        <v>1.9</v>
      </c>
      <c r="H1304" s="282"/>
      <c r="I1304" s="283">
        <f t="shared" si="51"/>
        <v>9.8800000000000008</v>
      </c>
      <c r="J1304" s="396"/>
    </row>
    <row r="1305" spans="1:30" s="400" customFormat="1" ht="21.75" customHeight="1">
      <c r="A1305" s="395"/>
      <c r="B1305" s="279" t="s">
        <v>441</v>
      </c>
      <c r="C1305" s="280">
        <v>1</v>
      </c>
      <c r="D1305" s="280">
        <v>1</v>
      </c>
      <c r="E1305" s="280">
        <v>2</v>
      </c>
      <c r="F1305" s="282">
        <v>9</v>
      </c>
      <c r="G1305" s="281"/>
      <c r="H1305" s="282">
        <v>0.15</v>
      </c>
      <c r="I1305" s="283">
        <f t="shared" si="51"/>
        <v>2.7</v>
      </c>
      <c r="J1305" s="396"/>
    </row>
    <row r="1306" spans="1:30" s="400" customFormat="1" ht="22.5" customHeight="1">
      <c r="A1306" s="395"/>
      <c r="B1306" s="279" t="s">
        <v>662</v>
      </c>
      <c r="C1306" s="280">
        <v>1</v>
      </c>
      <c r="D1306" s="280">
        <v>1</v>
      </c>
      <c r="E1306" s="280">
        <v>1</v>
      </c>
      <c r="F1306" s="282">
        <v>2.2999999999999998</v>
      </c>
      <c r="G1306" s="282">
        <v>3</v>
      </c>
      <c r="H1306" s="282"/>
      <c r="I1306" s="283">
        <f t="shared" si="51"/>
        <v>6.9</v>
      </c>
      <c r="J1306" s="396"/>
    </row>
    <row r="1307" spans="1:30" s="400" customFormat="1" ht="22.5" customHeight="1">
      <c r="A1307" s="395"/>
      <c r="B1307" s="279" t="s">
        <v>441</v>
      </c>
      <c r="C1307" s="280">
        <v>1</v>
      </c>
      <c r="D1307" s="280">
        <v>1</v>
      </c>
      <c r="E1307" s="280">
        <v>1</v>
      </c>
      <c r="F1307" s="282">
        <v>10.6</v>
      </c>
      <c r="G1307" s="282"/>
      <c r="H1307" s="282">
        <v>0.15</v>
      </c>
      <c r="I1307" s="283">
        <f t="shared" si="51"/>
        <v>1.59</v>
      </c>
      <c r="J1307" s="396"/>
    </row>
    <row r="1308" spans="1:30" s="414" customFormat="1" ht="21.75" customHeight="1">
      <c r="A1308" s="289"/>
      <c r="B1308" s="342"/>
      <c r="C1308" s="346"/>
      <c r="D1308" s="280"/>
      <c r="E1308" s="346"/>
      <c r="F1308" s="337"/>
      <c r="G1308" s="337"/>
      <c r="H1308" s="412"/>
      <c r="I1308" s="339">
        <f>SUM(I1277:I1307)</f>
        <v>963.73</v>
      </c>
      <c r="J1308" s="284"/>
      <c r="K1308" s="274"/>
      <c r="L1308" s="274"/>
      <c r="M1308" s="274"/>
      <c r="N1308" s="413"/>
      <c r="O1308" s="413"/>
      <c r="P1308" s="413"/>
      <c r="Q1308" s="413"/>
      <c r="R1308" s="413"/>
      <c r="S1308" s="413"/>
      <c r="T1308" s="413"/>
      <c r="U1308" s="413"/>
      <c r="V1308" s="413"/>
      <c r="W1308" s="413"/>
      <c r="X1308" s="413"/>
      <c r="Y1308" s="413"/>
      <c r="Z1308" s="413"/>
      <c r="AA1308" s="413"/>
      <c r="AB1308" s="413"/>
      <c r="AC1308" s="413"/>
      <c r="AD1308" s="413"/>
    </row>
    <row r="1309" spans="1:30" s="414" customFormat="1" ht="21.75" customHeight="1">
      <c r="A1309" s="289"/>
      <c r="B1309" s="342"/>
      <c r="C1309" s="346"/>
      <c r="D1309" s="280"/>
      <c r="E1309" s="346"/>
      <c r="F1309" s="337"/>
      <c r="G1309" s="337"/>
      <c r="H1309" s="404" t="s">
        <v>55</v>
      </c>
      <c r="I1309" s="416">
        <f>ROUNDUP(I1308,1)</f>
        <v>963.8</v>
      </c>
      <c r="J1309" s="343" t="s">
        <v>4</v>
      </c>
      <c r="K1309" s="344"/>
      <c r="L1309" s="344"/>
      <c r="M1309" s="344"/>
      <c r="N1309" s="413"/>
      <c r="O1309" s="413">
        <f>2.372+0.932</f>
        <v>3.3</v>
      </c>
      <c r="P1309" s="413">
        <f>I1309*12</f>
        <v>11565.6</v>
      </c>
      <c r="Q1309" s="413"/>
      <c r="R1309" s="413"/>
      <c r="S1309" s="413"/>
      <c r="T1309" s="413"/>
      <c r="U1309" s="413"/>
      <c r="V1309" s="413"/>
      <c r="W1309" s="413"/>
      <c r="X1309" s="413"/>
      <c r="Y1309" s="413"/>
      <c r="Z1309" s="413"/>
      <c r="AA1309" s="413"/>
      <c r="AB1309" s="413"/>
      <c r="AC1309" s="413"/>
      <c r="AD1309" s="413"/>
    </row>
    <row r="1310" spans="1:30" s="5" customFormat="1" ht="23.25" customHeight="1">
      <c r="A1310" s="289"/>
      <c r="B1310" s="456"/>
      <c r="C1310" s="346"/>
      <c r="D1310" s="280"/>
      <c r="E1310" s="346"/>
      <c r="F1310" s="337"/>
      <c r="G1310" s="337"/>
      <c r="H1310" s="337"/>
      <c r="I1310" s="347"/>
      <c r="J1310" s="284"/>
      <c r="K1310" s="43"/>
      <c r="L1310" s="43"/>
      <c r="M1310" s="43"/>
      <c r="N1310" s="7"/>
      <c r="O1310" s="7">
        <f>O1309/2</f>
        <v>1.65</v>
      </c>
      <c r="P1310" s="7"/>
      <c r="Q1310" s="7"/>
      <c r="R1310" s="7"/>
      <c r="S1310" s="7"/>
      <c r="T1310" s="7"/>
      <c r="U1310" s="7"/>
      <c r="V1310" s="7"/>
      <c r="W1310" s="7"/>
      <c r="X1310" s="7"/>
      <c r="Y1310" s="7"/>
      <c r="Z1310" s="7"/>
      <c r="AA1310" s="7"/>
      <c r="AB1310" s="7"/>
      <c r="AC1310" s="7"/>
      <c r="AD1310" s="7"/>
    </row>
    <row r="1311" spans="1:30" s="5" customFormat="1" ht="23.25" customHeight="1">
      <c r="A1311" s="345">
        <v>33</v>
      </c>
      <c r="B1311" s="319" t="s">
        <v>661</v>
      </c>
      <c r="C1311" s="346"/>
      <c r="D1311" s="280"/>
      <c r="E1311" s="346"/>
      <c r="F1311" s="337"/>
      <c r="G1311" s="337"/>
      <c r="H1311" s="337"/>
      <c r="I1311" s="347"/>
      <c r="J1311" s="284"/>
      <c r="K1311" s="43"/>
      <c r="L1311" s="43"/>
      <c r="M1311" s="43"/>
      <c r="N1311" s="7"/>
      <c r="O1311" s="7"/>
      <c r="P1311" s="7"/>
      <c r="Q1311" s="7"/>
      <c r="R1311" s="7"/>
      <c r="S1311" s="7"/>
      <c r="T1311" s="7"/>
      <c r="U1311" s="7"/>
      <c r="V1311" s="7"/>
      <c r="W1311" s="7"/>
      <c r="X1311" s="7"/>
      <c r="Y1311" s="7"/>
      <c r="Z1311" s="7"/>
      <c r="AA1311" s="7"/>
      <c r="AB1311" s="7"/>
      <c r="AC1311" s="7"/>
      <c r="AD1311" s="7"/>
    </row>
    <row r="1312" spans="1:30" s="5" customFormat="1" ht="23.25" customHeight="1">
      <c r="A1312" s="370"/>
      <c r="B1312" s="319" t="s">
        <v>660</v>
      </c>
      <c r="C1312" s="346"/>
      <c r="D1312" s="280"/>
      <c r="E1312" s="346"/>
      <c r="F1312" s="337"/>
      <c r="G1312" s="337"/>
      <c r="H1312" s="337"/>
      <c r="I1312" s="347"/>
      <c r="J1312" s="284"/>
      <c r="K1312" s="43"/>
      <c r="L1312" s="43"/>
      <c r="M1312" s="43"/>
      <c r="N1312" s="7"/>
      <c r="O1312" s="7"/>
      <c r="P1312" s="7"/>
      <c r="Q1312" s="7"/>
      <c r="R1312" s="7"/>
      <c r="S1312" s="7"/>
      <c r="T1312" s="7"/>
      <c r="U1312" s="7"/>
      <c r="V1312" s="7"/>
      <c r="W1312" s="7"/>
      <c r="X1312" s="7"/>
      <c r="Y1312" s="7"/>
      <c r="Z1312" s="7"/>
      <c r="AA1312" s="7"/>
      <c r="AB1312" s="7"/>
      <c r="AC1312" s="7"/>
      <c r="AD1312" s="7"/>
    </row>
    <row r="1313" spans="1:14" s="67" customFormat="1" ht="25.5" customHeight="1">
      <c r="A1313" s="303"/>
      <c r="B1313" s="302" t="s">
        <v>659</v>
      </c>
      <c r="C1313" s="294">
        <v>2</v>
      </c>
      <c r="D1313" s="294">
        <v>1</v>
      </c>
      <c r="E1313" s="294">
        <v>1</v>
      </c>
      <c r="F1313" s="295">
        <v>25.4</v>
      </c>
      <c r="G1313" s="295"/>
      <c r="H1313" s="300">
        <v>2.9249999999999998</v>
      </c>
      <c r="I1313" s="298">
        <f t="shared" ref="I1313:I1344" si="52">PRODUCT(C1313:H1313)</f>
        <v>148.59</v>
      </c>
      <c r="J1313" s="303"/>
      <c r="N1313" s="67">
        <f>2.85-0.125</f>
        <v>2.7250000000000001</v>
      </c>
    </row>
    <row r="1314" spans="1:14" s="67" customFormat="1" ht="24.75" customHeight="1">
      <c r="A1314" s="303"/>
      <c r="B1314" s="302" t="s">
        <v>657</v>
      </c>
      <c r="C1314" s="294">
        <v>-1</v>
      </c>
      <c r="D1314" s="294">
        <v>1</v>
      </c>
      <c r="E1314" s="294">
        <v>1</v>
      </c>
      <c r="F1314" s="295">
        <v>1.8</v>
      </c>
      <c r="G1314" s="295"/>
      <c r="H1314" s="295">
        <v>2.1</v>
      </c>
      <c r="I1314" s="298">
        <f t="shared" si="52"/>
        <v>-3.78</v>
      </c>
      <c r="J1314" s="303"/>
    </row>
    <row r="1315" spans="1:14" s="67" customFormat="1" ht="24.75" customHeight="1">
      <c r="A1315" s="303"/>
      <c r="B1315" s="302" t="s">
        <v>654</v>
      </c>
      <c r="C1315" s="294">
        <v>1</v>
      </c>
      <c r="D1315" s="294">
        <v>1</v>
      </c>
      <c r="E1315" s="294">
        <v>1</v>
      </c>
      <c r="F1315" s="295">
        <v>6</v>
      </c>
      <c r="G1315" s="295">
        <v>0.23</v>
      </c>
      <c r="H1315" s="295"/>
      <c r="I1315" s="298">
        <f t="shared" si="52"/>
        <v>1.38</v>
      </c>
      <c r="J1315" s="303"/>
      <c r="N1315" s="70">
        <f>1.8+2.1+2.1</f>
        <v>6</v>
      </c>
    </row>
    <row r="1316" spans="1:14" s="67" customFormat="1" ht="24.75" customHeight="1">
      <c r="A1316" s="303"/>
      <c r="B1316" s="302" t="s">
        <v>426</v>
      </c>
      <c r="C1316" s="294">
        <v>-1</v>
      </c>
      <c r="D1316" s="294">
        <v>1</v>
      </c>
      <c r="E1316" s="294">
        <v>1</v>
      </c>
      <c r="F1316" s="295">
        <v>0.9</v>
      </c>
      <c r="G1316" s="295"/>
      <c r="H1316" s="295">
        <v>2.1</v>
      </c>
      <c r="I1316" s="298">
        <f t="shared" si="52"/>
        <v>-1.89</v>
      </c>
      <c r="J1316" s="303"/>
    </row>
    <row r="1317" spans="1:14" s="67" customFormat="1" ht="24.75" customHeight="1">
      <c r="A1317" s="303"/>
      <c r="B1317" s="302" t="s">
        <v>628</v>
      </c>
      <c r="C1317" s="294">
        <v>1</v>
      </c>
      <c r="D1317" s="294">
        <v>1</v>
      </c>
      <c r="E1317" s="294">
        <v>1</v>
      </c>
      <c r="F1317" s="295">
        <v>5.0999999999999996</v>
      </c>
      <c r="G1317" s="295">
        <v>0.23</v>
      </c>
      <c r="H1317" s="295"/>
      <c r="I1317" s="298">
        <f t="shared" si="52"/>
        <v>1.17</v>
      </c>
      <c r="J1317" s="303"/>
      <c r="N1317" s="67">
        <f>0.9+2.1+2.1</f>
        <v>5.0999999999999996</v>
      </c>
    </row>
    <row r="1318" spans="1:14" s="67" customFormat="1" ht="24.75" customHeight="1">
      <c r="A1318" s="303"/>
      <c r="B1318" s="302" t="s">
        <v>640</v>
      </c>
      <c r="C1318" s="294">
        <v>-1</v>
      </c>
      <c r="D1318" s="294">
        <v>1</v>
      </c>
      <c r="E1318" s="294">
        <v>5</v>
      </c>
      <c r="F1318" s="295">
        <v>1.5</v>
      </c>
      <c r="G1318" s="295"/>
      <c r="H1318" s="295">
        <v>1.4</v>
      </c>
      <c r="I1318" s="298">
        <f t="shared" si="52"/>
        <v>-10.5</v>
      </c>
      <c r="J1318" s="303"/>
    </row>
    <row r="1319" spans="1:14" s="67" customFormat="1" ht="24.75" customHeight="1">
      <c r="A1319" s="303"/>
      <c r="B1319" s="302" t="s">
        <v>639</v>
      </c>
      <c r="C1319" s="294">
        <v>1</v>
      </c>
      <c r="D1319" s="294">
        <v>1</v>
      </c>
      <c r="E1319" s="294">
        <v>5</v>
      </c>
      <c r="F1319" s="295">
        <v>5.7</v>
      </c>
      <c r="G1319" s="295">
        <v>0.23</v>
      </c>
      <c r="H1319" s="295"/>
      <c r="I1319" s="298">
        <f t="shared" si="52"/>
        <v>6.56</v>
      </c>
      <c r="J1319" s="303"/>
      <c r="N1319" s="70">
        <f>1.5+1.35+1.5+1.35</f>
        <v>5.7</v>
      </c>
    </row>
    <row r="1320" spans="1:14" s="67" customFormat="1" ht="24.75" customHeight="1">
      <c r="A1320" s="303"/>
      <c r="B1320" s="302" t="s">
        <v>631</v>
      </c>
      <c r="C1320" s="294">
        <v>-1</v>
      </c>
      <c r="D1320" s="294">
        <v>1</v>
      </c>
      <c r="E1320" s="294">
        <v>2</v>
      </c>
      <c r="F1320" s="295">
        <v>1.5</v>
      </c>
      <c r="G1320" s="300"/>
      <c r="H1320" s="300">
        <v>1.35</v>
      </c>
      <c r="I1320" s="298">
        <f t="shared" si="52"/>
        <v>-4.05</v>
      </c>
      <c r="J1320" s="303"/>
    </row>
    <row r="1321" spans="1:14" s="69" customFormat="1" ht="24.75" customHeight="1">
      <c r="A1321" s="470"/>
      <c r="B1321" s="302" t="s">
        <v>630</v>
      </c>
      <c r="C1321" s="294">
        <v>1</v>
      </c>
      <c r="D1321" s="294">
        <v>1</v>
      </c>
      <c r="E1321" s="294">
        <v>2</v>
      </c>
      <c r="F1321" s="295">
        <v>5.7</v>
      </c>
      <c r="G1321" s="295">
        <v>0.23</v>
      </c>
      <c r="H1321" s="512"/>
      <c r="I1321" s="298">
        <f t="shared" si="52"/>
        <v>2.62</v>
      </c>
      <c r="J1321" s="470"/>
    </row>
    <row r="1322" spans="1:14" s="69" customFormat="1" ht="24.75" customHeight="1">
      <c r="A1322" s="470"/>
      <c r="B1322" s="302" t="s">
        <v>658</v>
      </c>
      <c r="C1322" s="294">
        <v>1</v>
      </c>
      <c r="D1322" s="294">
        <v>1</v>
      </c>
      <c r="E1322" s="294">
        <v>1</v>
      </c>
      <c r="F1322" s="295">
        <v>9.76</v>
      </c>
      <c r="G1322" s="300"/>
      <c r="H1322" s="300">
        <v>2.9249999999999998</v>
      </c>
      <c r="I1322" s="298">
        <f t="shared" si="52"/>
        <v>28.55</v>
      </c>
      <c r="J1322" s="470"/>
      <c r="N1322" s="69">
        <f>2.58+2.3+2.58+2.3</f>
        <v>9.76</v>
      </c>
    </row>
    <row r="1323" spans="1:14" s="67" customFormat="1" ht="24.75" customHeight="1">
      <c r="A1323" s="303"/>
      <c r="B1323" s="302" t="s">
        <v>657</v>
      </c>
      <c r="C1323" s="294">
        <v>-1</v>
      </c>
      <c r="D1323" s="294">
        <v>1</v>
      </c>
      <c r="E1323" s="294">
        <v>1</v>
      </c>
      <c r="F1323" s="295">
        <v>1.8</v>
      </c>
      <c r="G1323" s="295"/>
      <c r="H1323" s="295">
        <v>2.1</v>
      </c>
      <c r="I1323" s="298">
        <f t="shared" si="52"/>
        <v>-3.78</v>
      </c>
      <c r="J1323" s="303"/>
    </row>
    <row r="1324" spans="1:14" s="67" customFormat="1" ht="24.75" customHeight="1">
      <c r="A1324" s="303"/>
      <c r="B1324" s="302" t="s">
        <v>652</v>
      </c>
      <c r="C1324" s="294">
        <v>-1</v>
      </c>
      <c r="D1324" s="294">
        <v>1</v>
      </c>
      <c r="E1324" s="294">
        <v>1</v>
      </c>
      <c r="F1324" s="295">
        <v>1.5</v>
      </c>
      <c r="G1324" s="295"/>
      <c r="H1324" s="295">
        <v>2.1</v>
      </c>
      <c r="I1324" s="298">
        <f t="shared" si="52"/>
        <v>-3.15</v>
      </c>
      <c r="J1324" s="303"/>
    </row>
    <row r="1325" spans="1:14" s="67" customFormat="1" ht="24.75" customHeight="1">
      <c r="A1325" s="303"/>
      <c r="B1325" s="302" t="s">
        <v>654</v>
      </c>
      <c r="C1325" s="294">
        <v>1</v>
      </c>
      <c r="D1325" s="294">
        <v>1</v>
      </c>
      <c r="E1325" s="294">
        <v>1</v>
      </c>
      <c r="F1325" s="295">
        <v>7.2</v>
      </c>
      <c r="G1325" s="300">
        <v>0.23</v>
      </c>
      <c r="H1325" s="300"/>
      <c r="I1325" s="298">
        <f t="shared" si="52"/>
        <v>1.66</v>
      </c>
      <c r="J1325" s="303"/>
      <c r="N1325" s="67">
        <f>1.5+2.1+1.5+2.1</f>
        <v>7.2</v>
      </c>
    </row>
    <row r="1326" spans="1:14" s="67" customFormat="1" ht="24.75" customHeight="1">
      <c r="A1326" s="303"/>
      <c r="B1326" s="302" t="s">
        <v>656</v>
      </c>
      <c r="C1326" s="294">
        <v>-1</v>
      </c>
      <c r="D1326" s="294">
        <v>1</v>
      </c>
      <c r="E1326" s="294">
        <v>1</v>
      </c>
      <c r="F1326" s="295">
        <v>2.2999999999999998</v>
      </c>
      <c r="G1326" s="300"/>
      <c r="H1326" s="295">
        <v>2.1</v>
      </c>
      <c r="I1326" s="298">
        <f t="shared" si="52"/>
        <v>-4.83</v>
      </c>
      <c r="J1326" s="303"/>
    </row>
    <row r="1327" spans="1:14" s="67" customFormat="1" ht="24.75" customHeight="1">
      <c r="A1327" s="303"/>
      <c r="B1327" s="302" t="s">
        <v>448</v>
      </c>
      <c r="C1327" s="294">
        <v>1</v>
      </c>
      <c r="D1327" s="294">
        <v>1</v>
      </c>
      <c r="E1327" s="294">
        <v>1</v>
      </c>
      <c r="F1327" s="295">
        <v>6.5</v>
      </c>
      <c r="G1327" s="295">
        <v>0.23</v>
      </c>
      <c r="H1327" s="295"/>
      <c r="I1327" s="298">
        <f t="shared" si="52"/>
        <v>1.5</v>
      </c>
      <c r="J1327" s="303"/>
      <c r="N1327" s="67">
        <f>2.3+2.1+2.1</f>
        <v>6.5</v>
      </c>
    </row>
    <row r="1328" spans="1:14" s="67" customFormat="1" ht="24.75" customHeight="1">
      <c r="A1328" s="303"/>
      <c r="B1328" s="302" t="s">
        <v>653</v>
      </c>
      <c r="C1328" s="294">
        <v>1</v>
      </c>
      <c r="D1328" s="294">
        <v>1</v>
      </c>
      <c r="E1328" s="294">
        <v>1</v>
      </c>
      <c r="F1328" s="295">
        <v>2.2999999999999998</v>
      </c>
      <c r="G1328" s="295"/>
      <c r="H1328" s="300">
        <v>2.9249999999999998</v>
      </c>
      <c r="I1328" s="298">
        <f t="shared" si="52"/>
        <v>6.73</v>
      </c>
      <c r="J1328" s="303"/>
    </row>
    <row r="1329" spans="1:14" s="67" customFormat="1" ht="24.75" customHeight="1">
      <c r="A1329" s="303"/>
      <c r="B1329" s="302" t="s">
        <v>652</v>
      </c>
      <c r="C1329" s="294">
        <v>-1</v>
      </c>
      <c r="D1329" s="294">
        <v>1</v>
      </c>
      <c r="E1329" s="294">
        <v>1</v>
      </c>
      <c r="F1329" s="295">
        <v>1.5</v>
      </c>
      <c r="G1329" s="295"/>
      <c r="H1329" s="295">
        <v>2.1</v>
      </c>
      <c r="I1329" s="298">
        <f t="shared" si="52"/>
        <v>-3.15</v>
      </c>
      <c r="J1329" s="303"/>
    </row>
    <row r="1330" spans="1:14" s="67" customFormat="1" ht="24.75" customHeight="1">
      <c r="A1330" s="303"/>
      <c r="B1330" s="302" t="s">
        <v>655</v>
      </c>
      <c r="C1330" s="294">
        <v>1</v>
      </c>
      <c r="D1330" s="294">
        <v>1</v>
      </c>
      <c r="E1330" s="294">
        <v>3</v>
      </c>
      <c r="F1330" s="295">
        <v>6.5</v>
      </c>
      <c r="G1330" s="300"/>
      <c r="H1330" s="300">
        <v>2.9249999999999998</v>
      </c>
      <c r="I1330" s="298">
        <f t="shared" si="52"/>
        <v>57.04</v>
      </c>
      <c r="J1330" s="303"/>
      <c r="N1330" s="67">
        <f>1.75+1.5+1.75+1.5</f>
        <v>6.5</v>
      </c>
    </row>
    <row r="1331" spans="1:14" s="67" customFormat="1" ht="24.75" customHeight="1">
      <c r="A1331" s="303"/>
      <c r="B1331" s="302" t="s">
        <v>652</v>
      </c>
      <c r="C1331" s="294">
        <v>-1</v>
      </c>
      <c r="D1331" s="294">
        <v>1</v>
      </c>
      <c r="E1331" s="294">
        <v>3</v>
      </c>
      <c r="F1331" s="295">
        <v>1.5</v>
      </c>
      <c r="G1331" s="295"/>
      <c r="H1331" s="295">
        <v>2.1</v>
      </c>
      <c r="I1331" s="298">
        <f t="shared" si="52"/>
        <v>-9.4499999999999993</v>
      </c>
      <c r="J1331" s="303"/>
    </row>
    <row r="1332" spans="1:14" s="67" customFormat="1" ht="24.75" customHeight="1">
      <c r="A1332" s="303"/>
      <c r="B1332" s="302" t="s">
        <v>654</v>
      </c>
      <c r="C1332" s="294">
        <v>1</v>
      </c>
      <c r="D1332" s="294">
        <v>1</v>
      </c>
      <c r="E1332" s="294">
        <v>3</v>
      </c>
      <c r="F1332" s="295">
        <v>7.2</v>
      </c>
      <c r="G1332" s="295">
        <v>0.23</v>
      </c>
      <c r="H1332" s="295"/>
      <c r="I1332" s="298">
        <f t="shared" si="52"/>
        <v>4.97</v>
      </c>
      <c r="J1332" s="303"/>
      <c r="N1332" s="67">
        <f>1.5+2.1+1.5+2.1</f>
        <v>7.2</v>
      </c>
    </row>
    <row r="1333" spans="1:14" s="67" customFormat="1" ht="24.75" customHeight="1">
      <c r="A1333" s="303"/>
      <c r="B1333" s="302" t="s">
        <v>653</v>
      </c>
      <c r="C1333" s="294">
        <v>1</v>
      </c>
      <c r="D1333" s="294">
        <v>1</v>
      </c>
      <c r="E1333" s="294">
        <v>3</v>
      </c>
      <c r="F1333" s="295">
        <v>1.75</v>
      </c>
      <c r="G1333" s="295"/>
      <c r="H1333" s="300">
        <v>2.9249999999999998</v>
      </c>
      <c r="I1333" s="298">
        <f t="shared" si="52"/>
        <v>15.36</v>
      </c>
      <c r="J1333" s="303"/>
    </row>
    <row r="1334" spans="1:14" s="67" customFormat="1" ht="24.75" customHeight="1">
      <c r="A1334" s="303"/>
      <c r="B1334" s="302" t="s">
        <v>652</v>
      </c>
      <c r="C1334" s="294">
        <v>-1</v>
      </c>
      <c r="D1334" s="294">
        <v>1</v>
      </c>
      <c r="E1334" s="294">
        <v>3</v>
      </c>
      <c r="F1334" s="295">
        <v>1.5</v>
      </c>
      <c r="G1334" s="295"/>
      <c r="H1334" s="295">
        <v>2.1</v>
      </c>
      <c r="I1334" s="298">
        <f t="shared" si="52"/>
        <v>-9.4499999999999993</v>
      </c>
      <c r="J1334" s="303"/>
    </row>
    <row r="1335" spans="1:14" s="67" customFormat="1" ht="24.75" customHeight="1">
      <c r="A1335" s="303"/>
      <c r="B1335" s="302" t="s">
        <v>651</v>
      </c>
      <c r="C1335" s="294">
        <v>1</v>
      </c>
      <c r="D1335" s="294">
        <v>1</v>
      </c>
      <c r="E1335" s="294">
        <v>1</v>
      </c>
      <c r="F1335" s="295">
        <v>16.84</v>
      </c>
      <c r="G1335" s="300"/>
      <c r="H1335" s="300">
        <v>2.9249999999999998</v>
      </c>
      <c r="I1335" s="298">
        <f t="shared" si="52"/>
        <v>49.26</v>
      </c>
      <c r="J1335" s="303"/>
      <c r="N1335" s="67">
        <f>5.185+3.235+5.185+3.235</f>
        <v>16.84</v>
      </c>
    </row>
    <row r="1336" spans="1:14" s="67" customFormat="1" ht="24.75" customHeight="1">
      <c r="A1336" s="303"/>
      <c r="B1336" s="302" t="s">
        <v>426</v>
      </c>
      <c r="C1336" s="294">
        <v>-1</v>
      </c>
      <c r="D1336" s="294">
        <v>1</v>
      </c>
      <c r="E1336" s="294">
        <v>1</v>
      </c>
      <c r="F1336" s="295">
        <v>0.9</v>
      </c>
      <c r="G1336" s="300"/>
      <c r="H1336" s="300">
        <v>2.1</v>
      </c>
      <c r="I1336" s="298">
        <f t="shared" si="52"/>
        <v>-1.89</v>
      </c>
      <c r="J1336" s="303"/>
    </row>
    <row r="1337" spans="1:14" s="67" customFormat="1" ht="24.75" customHeight="1">
      <c r="A1337" s="303"/>
      <c r="B1337" s="302" t="s">
        <v>628</v>
      </c>
      <c r="C1337" s="294">
        <v>1</v>
      </c>
      <c r="D1337" s="294">
        <v>1</v>
      </c>
      <c r="E1337" s="294">
        <v>1</v>
      </c>
      <c r="F1337" s="295">
        <v>5.0999999999999996</v>
      </c>
      <c r="G1337" s="300">
        <v>0.23</v>
      </c>
      <c r="H1337" s="300"/>
      <c r="I1337" s="298">
        <f t="shared" si="52"/>
        <v>1.17</v>
      </c>
      <c r="J1337" s="303"/>
      <c r="N1337" s="67">
        <f>0.9+2.1+2.1</f>
        <v>5.0999999999999996</v>
      </c>
    </row>
    <row r="1338" spans="1:14" s="67" customFormat="1" ht="24.75" customHeight="1">
      <c r="A1338" s="303"/>
      <c r="B1338" s="302" t="s">
        <v>640</v>
      </c>
      <c r="C1338" s="294">
        <v>-1</v>
      </c>
      <c r="D1338" s="294">
        <v>1</v>
      </c>
      <c r="E1338" s="294">
        <v>1</v>
      </c>
      <c r="F1338" s="295">
        <v>1.5</v>
      </c>
      <c r="G1338" s="295"/>
      <c r="H1338" s="295">
        <v>1.35</v>
      </c>
      <c r="I1338" s="298">
        <f t="shared" si="52"/>
        <v>-2.0299999999999998</v>
      </c>
      <c r="J1338" s="303"/>
    </row>
    <row r="1339" spans="1:14" s="67" customFormat="1" ht="24.75" customHeight="1">
      <c r="A1339" s="303"/>
      <c r="B1339" s="302" t="s">
        <v>639</v>
      </c>
      <c r="C1339" s="294">
        <v>1</v>
      </c>
      <c r="D1339" s="294">
        <v>1</v>
      </c>
      <c r="E1339" s="294">
        <v>1</v>
      </c>
      <c r="F1339" s="295">
        <v>5.7</v>
      </c>
      <c r="G1339" s="295">
        <v>0.23</v>
      </c>
      <c r="H1339" s="295"/>
      <c r="I1339" s="298">
        <f t="shared" si="52"/>
        <v>1.31</v>
      </c>
      <c r="J1339" s="303"/>
    </row>
    <row r="1340" spans="1:14" s="67" customFormat="1" ht="24.75" customHeight="1">
      <c r="A1340" s="303"/>
      <c r="B1340" s="302" t="s">
        <v>120</v>
      </c>
      <c r="C1340" s="294">
        <v>-1</v>
      </c>
      <c r="D1340" s="294">
        <v>1</v>
      </c>
      <c r="E1340" s="294">
        <v>1</v>
      </c>
      <c r="F1340" s="295">
        <v>1.1000000000000001</v>
      </c>
      <c r="G1340" s="300"/>
      <c r="H1340" s="300">
        <v>2.1</v>
      </c>
      <c r="I1340" s="298">
        <f t="shared" si="52"/>
        <v>-2.31</v>
      </c>
      <c r="J1340" s="303"/>
    </row>
    <row r="1341" spans="1:14" s="67" customFormat="1" ht="24.75" customHeight="1">
      <c r="A1341" s="303"/>
      <c r="B1341" s="302" t="s">
        <v>448</v>
      </c>
      <c r="C1341" s="294">
        <v>1</v>
      </c>
      <c r="D1341" s="294">
        <v>1</v>
      </c>
      <c r="E1341" s="294">
        <v>1</v>
      </c>
      <c r="F1341" s="295">
        <f>1.1+2.1+2.1</f>
        <v>5.3</v>
      </c>
      <c r="G1341" s="300">
        <v>0.115</v>
      </c>
      <c r="H1341" s="300"/>
      <c r="I1341" s="298">
        <f t="shared" si="52"/>
        <v>0.61</v>
      </c>
      <c r="J1341" s="303"/>
    </row>
    <row r="1342" spans="1:14" s="67" customFormat="1" ht="24.75" customHeight="1">
      <c r="A1342" s="303"/>
      <c r="B1342" s="302" t="s">
        <v>650</v>
      </c>
      <c r="C1342" s="294">
        <v>1</v>
      </c>
      <c r="D1342" s="294">
        <v>1</v>
      </c>
      <c r="E1342" s="294">
        <v>3</v>
      </c>
      <c r="F1342" s="300">
        <v>3.4649999999999999</v>
      </c>
      <c r="G1342" s="300"/>
      <c r="H1342" s="300">
        <v>2.9249999999999998</v>
      </c>
      <c r="I1342" s="298">
        <f t="shared" si="52"/>
        <v>30.41</v>
      </c>
      <c r="J1342" s="303"/>
    </row>
    <row r="1343" spans="1:14" s="67" customFormat="1" ht="24.75" customHeight="1">
      <c r="A1343" s="303"/>
      <c r="B1343" s="302" t="s">
        <v>426</v>
      </c>
      <c r="C1343" s="294">
        <v>-1</v>
      </c>
      <c r="D1343" s="294">
        <v>1</v>
      </c>
      <c r="E1343" s="294">
        <v>1</v>
      </c>
      <c r="F1343" s="295">
        <v>0.9</v>
      </c>
      <c r="G1343" s="300"/>
      <c r="H1343" s="300">
        <v>2.1</v>
      </c>
      <c r="I1343" s="298">
        <f t="shared" si="52"/>
        <v>-1.89</v>
      </c>
      <c r="J1343" s="303"/>
    </row>
    <row r="1344" spans="1:14" s="67" customFormat="1" ht="24.75" customHeight="1">
      <c r="A1344" s="303"/>
      <c r="B1344" s="302" t="s">
        <v>640</v>
      </c>
      <c r="C1344" s="294">
        <v>-1</v>
      </c>
      <c r="D1344" s="294">
        <v>1</v>
      </c>
      <c r="E1344" s="294">
        <v>1</v>
      </c>
      <c r="F1344" s="295">
        <v>1.5</v>
      </c>
      <c r="G1344" s="300"/>
      <c r="H1344" s="300">
        <v>1.35</v>
      </c>
      <c r="I1344" s="298">
        <f t="shared" si="52"/>
        <v>-2.0299999999999998</v>
      </c>
      <c r="J1344" s="303"/>
    </row>
    <row r="1345" spans="1:14" s="67" customFormat="1" ht="24.75" customHeight="1">
      <c r="A1345" s="303"/>
      <c r="B1345" s="302" t="s">
        <v>649</v>
      </c>
      <c r="C1345" s="294">
        <v>1</v>
      </c>
      <c r="D1345" s="294">
        <v>1</v>
      </c>
      <c r="E1345" s="294">
        <v>1</v>
      </c>
      <c r="F1345" s="295">
        <v>6.83</v>
      </c>
      <c r="G1345" s="300"/>
      <c r="H1345" s="300">
        <v>2.7250000000000001</v>
      </c>
      <c r="I1345" s="298">
        <f t="shared" ref="I1345:I1376" si="53">PRODUCT(C1345:H1345)</f>
        <v>18.61</v>
      </c>
      <c r="J1345" s="303"/>
      <c r="N1345" s="67">
        <f>2.1+1.315+2.1+1.315</f>
        <v>6.83</v>
      </c>
    </row>
    <row r="1346" spans="1:14" s="67" customFormat="1" ht="24.75" customHeight="1">
      <c r="A1346" s="303"/>
      <c r="B1346" s="302" t="s">
        <v>70</v>
      </c>
      <c r="C1346" s="294">
        <v>-1</v>
      </c>
      <c r="D1346" s="294">
        <v>1</v>
      </c>
      <c r="E1346" s="294">
        <v>1</v>
      </c>
      <c r="F1346" s="295">
        <v>0.75</v>
      </c>
      <c r="G1346" s="300"/>
      <c r="H1346" s="300">
        <v>2.1</v>
      </c>
      <c r="I1346" s="298">
        <f t="shared" si="53"/>
        <v>-1.58</v>
      </c>
      <c r="J1346" s="303"/>
    </row>
    <row r="1347" spans="1:14" s="67" customFormat="1" ht="24.75" customHeight="1">
      <c r="A1347" s="303"/>
      <c r="B1347" s="302" t="s">
        <v>103</v>
      </c>
      <c r="C1347" s="294">
        <v>1</v>
      </c>
      <c r="D1347" s="294">
        <v>1</v>
      </c>
      <c r="E1347" s="294">
        <v>1</v>
      </c>
      <c r="F1347" s="295">
        <f>0.75+2.1+2.1</f>
        <v>4.95</v>
      </c>
      <c r="G1347" s="300">
        <v>0.115</v>
      </c>
      <c r="H1347" s="300"/>
      <c r="I1347" s="298">
        <f t="shared" si="53"/>
        <v>0.56999999999999995</v>
      </c>
      <c r="J1347" s="303"/>
    </row>
    <row r="1348" spans="1:14" s="67" customFormat="1" ht="24.75" customHeight="1">
      <c r="A1348" s="303"/>
      <c r="B1348" s="302" t="s">
        <v>648</v>
      </c>
      <c r="C1348" s="294">
        <v>1</v>
      </c>
      <c r="D1348" s="294">
        <v>1</v>
      </c>
      <c r="E1348" s="294">
        <v>1</v>
      </c>
      <c r="F1348" s="295">
        <v>5.2</v>
      </c>
      <c r="G1348" s="300"/>
      <c r="H1348" s="300">
        <v>2.9249999999999998</v>
      </c>
      <c r="I1348" s="298">
        <f t="shared" si="53"/>
        <v>15.21</v>
      </c>
      <c r="J1348" s="303"/>
      <c r="N1348" s="67">
        <f>1.4+1.2+1.4+1.2</f>
        <v>5.2</v>
      </c>
    </row>
    <row r="1349" spans="1:14" s="67" customFormat="1" ht="24.75" customHeight="1">
      <c r="A1349" s="303"/>
      <c r="B1349" s="302" t="s">
        <v>70</v>
      </c>
      <c r="C1349" s="294">
        <v>-1</v>
      </c>
      <c r="D1349" s="294">
        <v>1</v>
      </c>
      <c r="E1349" s="294">
        <v>1</v>
      </c>
      <c r="F1349" s="295">
        <v>0.75</v>
      </c>
      <c r="G1349" s="300"/>
      <c r="H1349" s="300">
        <v>2.1</v>
      </c>
      <c r="I1349" s="298">
        <f t="shared" si="53"/>
        <v>-1.58</v>
      </c>
      <c r="J1349" s="303"/>
    </row>
    <row r="1350" spans="1:14" s="67" customFormat="1" ht="24.75" customHeight="1">
      <c r="A1350" s="303"/>
      <c r="B1350" s="302" t="s">
        <v>120</v>
      </c>
      <c r="C1350" s="294">
        <v>-1</v>
      </c>
      <c r="D1350" s="294">
        <v>1</v>
      </c>
      <c r="E1350" s="294">
        <v>1</v>
      </c>
      <c r="F1350" s="295">
        <v>1.1000000000000001</v>
      </c>
      <c r="G1350" s="300"/>
      <c r="H1350" s="300">
        <v>2.1</v>
      </c>
      <c r="I1350" s="298">
        <f t="shared" si="53"/>
        <v>-2.31</v>
      </c>
      <c r="J1350" s="303"/>
    </row>
    <row r="1351" spans="1:14" s="67" customFormat="1" ht="24.75" customHeight="1">
      <c r="A1351" s="303"/>
      <c r="B1351" s="302" t="s">
        <v>647</v>
      </c>
      <c r="C1351" s="294">
        <v>1</v>
      </c>
      <c r="D1351" s="294">
        <v>1</v>
      </c>
      <c r="E1351" s="294">
        <v>1</v>
      </c>
      <c r="F1351" s="295">
        <v>14.77</v>
      </c>
      <c r="G1351" s="300"/>
      <c r="H1351" s="300">
        <v>2.9249999999999998</v>
      </c>
      <c r="I1351" s="298">
        <f t="shared" si="53"/>
        <v>43.2</v>
      </c>
      <c r="J1351" s="303"/>
      <c r="N1351" s="67">
        <f>2.17+1.43+1.215+2.57+3.385+4</f>
        <v>14.77</v>
      </c>
    </row>
    <row r="1352" spans="1:14" s="67" customFormat="1" ht="24.75" customHeight="1">
      <c r="A1352" s="303"/>
      <c r="B1352" s="302" t="s">
        <v>633</v>
      </c>
      <c r="C1352" s="294">
        <v>-1</v>
      </c>
      <c r="D1352" s="294">
        <v>1</v>
      </c>
      <c r="E1352" s="294">
        <v>1</v>
      </c>
      <c r="F1352" s="295">
        <v>2.1</v>
      </c>
      <c r="G1352" s="300"/>
      <c r="H1352" s="300">
        <v>2.1</v>
      </c>
      <c r="I1352" s="298">
        <f t="shared" si="53"/>
        <v>-4.41</v>
      </c>
      <c r="J1352" s="303"/>
    </row>
    <row r="1353" spans="1:14" s="67" customFormat="1" ht="24.75" customHeight="1">
      <c r="A1353" s="303"/>
      <c r="B1353" s="302" t="s">
        <v>632</v>
      </c>
      <c r="C1353" s="294">
        <v>1</v>
      </c>
      <c r="D1353" s="294">
        <v>1</v>
      </c>
      <c r="E1353" s="294">
        <v>1</v>
      </c>
      <c r="F1353" s="295">
        <v>6.3</v>
      </c>
      <c r="G1353" s="300">
        <v>0.23</v>
      </c>
      <c r="H1353" s="300"/>
      <c r="I1353" s="298">
        <f t="shared" si="53"/>
        <v>1.45</v>
      </c>
      <c r="J1353" s="303"/>
      <c r="N1353" s="67">
        <f>2.1+2.1+2.1</f>
        <v>6.3</v>
      </c>
    </row>
    <row r="1354" spans="1:14" s="67" customFormat="1" ht="24.75" customHeight="1">
      <c r="A1354" s="303"/>
      <c r="B1354" s="302" t="s">
        <v>646</v>
      </c>
      <c r="C1354" s="294">
        <v>1</v>
      </c>
      <c r="D1354" s="294">
        <v>1</v>
      </c>
      <c r="E1354" s="294">
        <v>1</v>
      </c>
      <c r="F1354" s="295">
        <v>16.84</v>
      </c>
      <c r="G1354" s="300"/>
      <c r="H1354" s="300">
        <v>2.9249999999999998</v>
      </c>
      <c r="I1354" s="298">
        <f t="shared" si="53"/>
        <v>49.26</v>
      </c>
      <c r="J1354" s="303"/>
      <c r="N1354" s="67">
        <f>5.185+3.235+5.185+3.235</f>
        <v>16.84</v>
      </c>
    </row>
    <row r="1355" spans="1:14" s="67" customFormat="1" ht="24.75" customHeight="1">
      <c r="A1355" s="303"/>
      <c r="B1355" s="302" t="s">
        <v>426</v>
      </c>
      <c r="C1355" s="294">
        <v>-1</v>
      </c>
      <c r="D1355" s="294">
        <v>1</v>
      </c>
      <c r="E1355" s="294">
        <v>1</v>
      </c>
      <c r="F1355" s="295">
        <v>0.9</v>
      </c>
      <c r="G1355" s="300"/>
      <c r="H1355" s="300">
        <v>2.1</v>
      </c>
      <c r="I1355" s="298">
        <f t="shared" si="53"/>
        <v>-1.89</v>
      </c>
      <c r="J1355" s="303"/>
    </row>
    <row r="1356" spans="1:14" s="67" customFormat="1" ht="24.75" customHeight="1">
      <c r="A1356" s="303"/>
      <c r="B1356" s="302" t="s">
        <v>628</v>
      </c>
      <c r="C1356" s="294">
        <v>1</v>
      </c>
      <c r="D1356" s="294">
        <v>1</v>
      </c>
      <c r="E1356" s="294">
        <v>1</v>
      </c>
      <c r="F1356" s="295">
        <v>5.0999999999999996</v>
      </c>
      <c r="G1356" s="300">
        <v>0.23</v>
      </c>
      <c r="H1356" s="300"/>
      <c r="I1356" s="298">
        <f t="shared" si="53"/>
        <v>1.17</v>
      </c>
      <c r="J1356" s="303"/>
    </row>
    <row r="1357" spans="1:14" s="67" customFormat="1" ht="24.75" customHeight="1">
      <c r="A1357" s="303"/>
      <c r="B1357" s="302" t="s">
        <v>645</v>
      </c>
      <c r="C1357" s="294">
        <v>-1</v>
      </c>
      <c r="D1357" s="294">
        <v>1</v>
      </c>
      <c r="E1357" s="294">
        <v>1</v>
      </c>
      <c r="F1357" s="295">
        <v>1.2</v>
      </c>
      <c r="G1357" s="295"/>
      <c r="H1357" s="295">
        <v>1.35</v>
      </c>
      <c r="I1357" s="298">
        <f t="shared" si="53"/>
        <v>-1.62</v>
      </c>
      <c r="J1357" s="303"/>
    </row>
    <row r="1358" spans="1:14" s="69" customFormat="1" ht="24.75" customHeight="1">
      <c r="A1358" s="470"/>
      <c r="B1358" s="302" t="s">
        <v>644</v>
      </c>
      <c r="C1358" s="294">
        <v>1</v>
      </c>
      <c r="D1358" s="294">
        <v>1</v>
      </c>
      <c r="E1358" s="294">
        <v>1</v>
      </c>
      <c r="F1358" s="295">
        <v>5.0999999999999996</v>
      </c>
      <c r="G1358" s="295">
        <v>0.23</v>
      </c>
      <c r="H1358" s="295"/>
      <c r="I1358" s="298">
        <f t="shared" si="53"/>
        <v>1.17</v>
      </c>
      <c r="J1358" s="470"/>
      <c r="N1358" s="69">
        <f>1.2+1.35+1.2+1.35</f>
        <v>5.0999999999999996</v>
      </c>
    </row>
    <row r="1359" spans="1:14" s="67" customFormat="1" ht="24.75" customHeight="1">
      <c r="A1359" s="303"/>
      <c r="B1359" s="302" t="s">
        <v>640</v>
      </c>
      <c r="C1359" s="294">
        <v>-1</v>
      </c>
      <c r="D1359" s="294">
        <v>1</v>
      </c>
      <c r="E1359" s="294">
        <v>1</v>
      </c>
      <c r="F1359" s="295">
        <v>1.5</v>
      </c>
      <c r="G1359" s="295"/>
      <c r="H1359" s="295">
        <v>1.35</v>
      </c>
      <c r="I1359" s="298">
        <f t="shared" si="53"/>
        <v>-2.0299999999999998</v>
      </c>
      <c r="J1359" s="303"/>
    </row>
    <row r="1360" spans="1:14" s="67" customFormat="1" ht="24.75" customHeight="1">
      <c r="A1360" s="303"/>
      <c r="B1360" s="302" t="s">
        <v>639</v>
      </c>
      <c r="C1360" s="294">
        <v>1</v>
      </c>
      <c r="D1360" s="294">
        <v>1</v>
      </c>
      <c r="E1360" s="294">
        <v>1</v>
      </c>
      <c r="F1360" s="295">
        <v>5.7</v>
      </c>
      <c r="G1360" s="295">
        <v>0.23</v>
      </c>
      <c r="H1360" s="295"/>
      <c r="I1360" s="298">
        <f t="shared" si="53"/>
        <v>1.31</v>
      </c>
      <c r="J1360" s="303"/>
    </row>
    <row r="1361" spans="1:14" s="67" customFormat="1" ht="24.75" customHeight="1">
      <c r="A1361" s="303"/>
      <c r="B1361" s="302" t="s">
        <v>643</v>
      </c>
      <c r="C1361" s="294">
        <v>1</v>
      </c>
      <c r="D1361" s="294">
        <v>1</v>
      </c>
      <c r="E1361" s="294">
        <v>3</v>
      </c>
      <c r="F1361" s="300">
        <v>3.4649999999999999</v>
      </c>
      <c r="G1361" s="300"/>
      <c r="H1361" s="300">
        <v>2.9249999999999998</v>
      </c>
      <c r="I1361" s="298">
        <f t="shared" si="53"/>
        <v>30.41</v>
      </c>
      <c r="J1361" s="303"/>
    </row>
    <row r="1362" spans="1:14" s="67" customFormat="1" ht="24.75" customHeight="1">
      <c r="A1362" s="303"/>
      <c r="B1362" s="302" t="s">
        <v>426</v>
      </c>
      <c r="C1362" s="294" t="s">
        <v>642</v>
      </c>
      <c r="D1362" s="294">
        <v>1</v>
      </c>
      <c r="E1362" s="294">
        <v>2</v>
      </c>
      <c r="F1362" s="295">
        <v>0.9</v>
      </c>
      <c r="G1362" s="300"/>
      <c r="H1362" s="300">
        <v>2.1</v>
      </c>
      <c r="I1362" s="298">
        <f t="shared" si="53"/>
        <v>3.78</v>
      </c>
      <c r="J1362" s="303"/>
    </row>
    <row r="1363" spans="1:14" s="67" customFormat="1" ht="24.75" customHeight="1">
      <c r="A1363" s="303"/>
      <c r="B1363" s="302" t="s">
        <v>641</v>
      </c>
      <c r="C1363" s="294">
        <v>1</v>
      </c>
      <c r="D1363" s="294">
        <v>1</v>
      </c>
      <c r="E1363" s="294">
        <v>1</v>
      </c>
      <c r="F1363" s="295">
        <v>3.79</v>
      </c>
      <c r="G1363" s="300"/>
      <c r="H1363" s="300">
        <v>2.7250000000000001</v>
      </c>
      <c r="I1363" s="298">
        <f t="shared" si="53"/>
        <v>10.33</v>
      </c>
      <c r="J1363" s="303"/>
    </row>
    <row r="1364" spans="1:14" s="69" customFormat="1" ht="24.75" customHeight="1">
      <c r="A1364" s="470"/>
      <c r="B1364" s="302" t="s">
        <v>640</v>
      </c>
      <c r="C1364" s="294">
        <v>-1</v>
      </c>
      <c r="D1364" s="294">
        <v>1</v>
      </c>
      <c r="E1364" s="294">
        <v>2</v>
      </c>
      <c r="F1364" s="295">
        <v>1.5</v>
      </c>
      <c r="G1364" s="295"/>
      <c r="H1364" s="295">
        <v>1.35</v>
      </c>
      <c r="I1364" s="298">
        <f t="shared" si="53"/>
        <v>-4.05</v>
      </c>
      <c r="J1364" s="470"/>
    </row>
    <row r="1365" spans="1:14" s="69" customFormat="1" ht="24.75" customHeight="1">
      <c r="A1365" s="470"/>
      <c r="B1365" s="302" t="s">
        <v>639</v>
      </c>
      <c r="C1365" s="294">
        <v>1</v>
      </c>
      <c r="D1365" s="294">
        <v>1</v>
      </c>
      <c r="E1365" s="294">
        <v>2</v>
      </c>
      <c r="F1365" s="295">
        <v>5.7</v>
      </c>
      <c r="G1365" s="295">
        <v>0.23</v>
      </c>
      <c r="H1365" s="295"/>
      <c r="I1365" s="298">
        <f t="shared" si="53"/>
        <v>2.62</v>
      </c>
      <c r="J1365" s="470"/>
    </row>
    <row r="1366" spans="1:14" s="67" customFormat="1" ht="24.75" customHeight="1">
      <c r="A1366" s="303"/>
      <c r="B1366" s="302" t="s">
        <v>638</v>
      </c>
      <c r="C1366" s="294">
        <v>1</v>
      </c>
      <c r="D1366" s="294">
        <v>1</v>
      </c>
      <c r="E1366" s="294">
        <v>1</v>
      </c>
      <c r="F1366" s="295">
        <v>6.83</v>
      </c>
      <c r="G1366" s="300"/>
      <c r="H1366" s="300">
        <v>2.9249999999999998</v>
      </c>
      <c r="I1366" s="298">
        <f t="shared" si="53"/>
        <v>19.98</v>
      </c>
      <c r="J1366" s="303"/>
      <c r="N1366" s="67">
        <f>2.1+1.315+2.1+1.315</f>
        <v>6.83</v>
      </c>
    </row>
    <row r="1367" spans="1:14" s="67" customFormat="1" ht="24.75" customHeight="1">
      <c r="A1367" s="303"/>
      <c r="B1367" s="302" t="s">
        <v>70</v>
      </c>
      <c r="C1367" s="294">
        <v>-1</v>
      </c>
      <c r="D1367" s="294">
        <v>1</v>
      </c>
      <c r="E1367" s="294">
        <v>1</v>
      </c>
      <c r="F1367" s="295">
        <v>0.75</v>
      </c>
      <c r="G1367" s="300"/>
      <c r="H1367" s="300">
        <v>2.1</v>
      </c>
      <c r="I1367" s="298">
        <f t="shared" si="53"/>
        <v>-1.58</v>
      </c>
      <c r="J1367" s="303"/>
    </row>
    <row r="1368" spans="1:14" s="67" customFormat="1" ht="24.75" customHeight="1">
      <c r="A1368" s="303"/>
      <c r="B1368" s="302" t="s">
        <v>637</v>
      </c>
      <c r="C1368" s="294">
        <v>-1</v>
      </c>
      <c r="D1368" s="294">
        <v>1</v>
      </c>
      <c r="E1368" s="294">
        <v>1</v>
      </c>
      <c r="F1368" s="295">
        <v>4.95</v>
      </c>
      <c r="G1368" s="300">
        <v>0.115</v>
      </c>
      <c r="H1368" s="300"/>
      <c r="I1368" s="298">
        <f t="shared" si="53"/>
        <v>-0.56999999999999995</v>
      </c>
      <c r="J1368" s="303"/>
      <c r="N1368" s="67">
        <f>0.75+2.1+2.1</f>
        <v>4.95</v>
      </c>
    </row>
    <row r="1369" spans="1:14" s="67" customFormat="1" ht="24.75" customHeight="1">
      <c r="A1369" s="303"/>
      <c r="B1369" s="302" t="s">
        <v>333</v>
      </c>
      <c r="C1369" s="294">
        <v>-1</v>
      </c>
      <c r="D1369" s="294">
        <v>1</v>
      </c>
      <c r="E1369" s="294">
        <v>1</v>
      </c>
      <c r="F1369" s="295">
        <v>0.75</v>
      </c>
      <c r="G1369" s="300"/>
      <c r="H1369" s="300">
        <v>0.45</v>
      </c>
      <c r="I1369" s="298">
        <f t="shared" si="53"/>
        <v>-0.34</v>
      </c>
      <c r="J1369" s="303"/>
    </row>
    <row r="1370" spans="1:14" s="67" customFormat="1" ht="24.75" customHeight="1">
      <c r="A1370" s="303"/>
      <c r="B1370" s="302" t="s">
        <v>636</v>
      </c>
      <c r="C1370" s="294">
        <v>1</v>
      </c>
      <c r="D1370" s="294">
        <v>1</v>
      </c>
      <c r="E1370" s="294">
        <v>1</v>
      </c>
      <c r="F1370" s="295">
        <v>2.4</v>
      </c>
      <c r="G1370" s="300">
        <v>0.115</v>
      </c>
      <c r="H1370" s="294"/>
      <c r="I1370" s="298">
        <f t="shared" si="53"/>
        <v>0.28000000000000003</v>
      </c>
      <c r="J1370" s="303"/>
      <c r="N1370" s="67">
        <f>0.75+0.45+0.75+0.45</f>
        <v>2.4</v>
      </c>
    </row>
    <row r="1371" spans="1:14" s="67" customFormat="1" ht="24.75" customHeight="1">
      <c r="A1371" s="303"/>
      <c r="B1371" s="302" t="s">
        <v>635</v>
      </c>
      <c r="C1371" s="294">
        <v>1</v>
      </c>
      <c r="D1371" s="294">
        <v>1</v>
      </c>
      <c r="E1371" s="294">
        <v>1</v>
      </c>
      <c r="F1371" s="295">
        <v>4.87</v>
      </c>
      <c r="G1371" s="300"/>
      <c r="H1371" s="300">
        <v>2.9249999999999998</v>
      </c>
      <c r="I1371" s="298">
        <f t="shared" si="53"/>
        <v>14.24</v>
      </c>
      <c r="J1371" s="303"/>
      <c r="N1371" s="67">
        <f>1.265+1.17+1.265+1.17</f>
        <v>4.87</v>
      </c>
    </row>
    <row r="1372" spans="1:14" s="67" customFormat="1" ht="24.75" customHeight="1">
      <c r="A1372" s="303"/>
      <c r="B1372" s="302" t="s">
        <v>70</v>
      </c>
      <c r="C1372" s="294">
        <v>-1</v>
      </c>
      <c r="D1372" s="294">
        <v>1</v>
      </c>
      <c r="E1372" s="294">
        <v>1</v>
      </c>
      <c r="F1372" s="295">
        <v>0.75</v>
      </c>
      <c r="G1372" s="300"/>
      <c r="H1372" s="300">
        <v>2.1</v>
      </c>
      <c r="I1372" s="298">
        <f t="shared" si="53"/>
        <v>-1.58</v>
      </c>
      <c r="J1372" s="303"/>
    </row>
    <row r="1373" spans="1:14" s="67" customFormat="1" ht="24.75" customHeight="1">
      <c r="A1373" s="303"/>
      <c r="B1373" s="302" t="s">
        <v>333</v>
      </c>
      <c r="C1373" s="294">
        <v>-1</v>
      </c>
      <c r="D1373" s="294">
        <v>1</v>
      </c>
      <c r="E1373" s="294">
        <v>1</v>
      </c>
      <c r="F1373" s="295">
        <v>0.75</v>
      </c>
      <c r="G1373" s="300"/>
      <c r="H1373" s="300">
        <v>0.45</v>
      </c>
      <c r="I1373" s="298">
        <f t="shared" si="53"/>
        <v>-0.34</v>
      </c>
      <c r="J1373" s="303"/>
    </row>
    <row r="1374" spans="1:14" s="67" customFormat="1" ht="24.75" customHeight="1">
      <c r="A1374" s="303"/>
      <c r="B1374" s="302" t="s">
        <v>634</v>
      </c>
      <c r="C1374" s="294">
        <v>1</v>
      </c>
      <c r="D1374" s="294">
        <v>1</v>
      </c>
      <c r="E1374" s="294">
        <v>1</v>
      </c>
      <c r="F1374" s="295">
        <v>14.64</v>
      </c>
      <c r="G1374" s="300"/>
      <c r="H1374" s="300">
        <v>2.7250000000000001</v>
      </c>
      <c r="I1374" s="298">
        <f t="shared" si="53"/>
        <v>39.89</v>
      </c>
      <c r="J1374" s="303"/>
    </row>
    <row r="1375" spans="1:14" s="67" customFormat="1" ht="24.75" customHeight="1">
      <c r="A1375" s="303"/>
      <c r="B1375" s="302" t="s">
        <v>633</v>
      </c>
      <c r="C1375" s="294">
        <v>-1</v>
      </c>
      <c r="D1375" s="294">
        <v>1</v>
      </c>
      <c r="E1375" s="294">
        <v>1</v>
      </c>
      <c r="F1375" s="295">
        <v>2.1</v>
      </c>
      <c r="G1375" s="300"/>
      <c r="H1375" s="300">
        <v>2.1</v>
      </c>
      <c r="I1375" s="298">
        <f t="shared" si="53"/>
        <v>-4.41</v>
      </c>
      <c r="J1375" s="303"/>
    </row>
    <row r="1376" spans="1:14" s="67" customFormat="1" ht="24.75" customHeight="1">
      <c r="A1376" s="303"/>
      <c r="B1376" s="302" t="s">
        <v>632</v>
      </c>
      <c r="C1376" s="294">
        <v>1</v>
      </c>
      <c r="D1376" s="294">
        <v>1</v>
      </c>
      <c r="E1376" s="294">
        <v>1</v>
      </c>
      <c r="F1376" s="295">
        <v>6.3</v>
      </c>
      <c r="G1376" s="300">
        <v>0.23</v>
      </c>
      <c r="H1376" s="300"/>
      <c r="I1376" s="298">
        <f t="shared" si="53"/>
        <v>1.45</v>
      </c>
      <c r="J1376" s="303"/>
      <c r="N1376" s="67">
        <f>2.1+2.1+2.1</f>
        <v>6.3</v>
      </c>
    </row>
    <row r="1377" spans="1:14" s="67" customFormat="1" ht="24.75" customHeight="1">
      <c r="A1377" s="303"/>
      <c r="B1377" s="302" t="s">
        <v>631</v>
      </c>
      <c r="C1377" s="294">
        <v>-1</v>
      </c>
      <c r="D1377" s="294">
        <v>1</v>
      </c>
      <c r="E1377" s="294">
        <v>2</v>
      </c>
      <c r="F1377" s="295">
        <v>1.5</v>
      </c>
      <c r="G1377" s="300"/>
      <c r="H1377" s="300">
        <v>1.35</v>
      </c>
      <c r="I1377" s="298">
        <f t="shared" ref="I1377:I1397" si="54">PRODUCT(C1377:H1377)</f>
        <v>-4.05</v>
      </c>
      <c r="J1377" s="303"/>
    </row>
    <row r="1378" spans="1:14" s="69" customFormat="1" ht="24.75" customHeight="1">
      <c r="A1378" s="470"/>
      <c r="B1378" s="302" t="s">
        <v>630</v>
      </c>
      <c r="C1378" s="294">
        <v>1</v>
      </c>
      <c r="D1378" s="294">
        <v>1</v>
      </c>
      <c r="E1378" s="294">
        <v>2</v>
      </c>
      <c r="F1378" s="295">
        <v>5.7</v>
      </c>
      <c r="G1378" s="295">
        <v>0.23</v>
      </c>
      <c r="H1378" s="512"/>
      <c r="I1378" s="298">
        <f t="shared" si="54"/>
        <v>2.62</v>
      </c>
      <c r="J1378" s="470"/>
    </row>
    <row r="1379" spans="1:14" s="67" customFormat="1" ht="24.75" customHeight="1">
      <c r="A1379" s="303"/>
      <c r="B1379" s="302" t="s">
        <v>629</v>
      </c>
      <c r="C1379" s="294">
        <v>1</v>
      </c>
      <c r="D1379" s="294">
        <v>1</v>
      </c>
      <c r="E1379" s="294">
        <v>1</v>
      </c>
      <c r="F1379" s="295">
        <v>5.6</v>
      </c>
      <c r="G1379" s="300"/>
      <c r="H1379" s="300">
        <v>2.9249999999999998</v>
      </c>
      <c r="I1379" s="298">
        <f t="shared" si="54"/>
        <v>16.38</v>
      </c>
      <c r="J1379" s="303"/>
      <c r="N1379" s="70">
        <f>1.685+1.115+1.685+1.115</f>
        <v>5.6</v>
      </c>
    </row>
    <row r="1380" spans="1:14" s="67" customFormat="1" ht="24.75" customHeight="1">
      <c r="A1380" s="303"/>
      <c r="B1380" s="302" t="s">
        <v>426</v>
      </c>
      <c r="C1380" s="294">
        <v>-1</v>
      </c>
      <c r="D1380" s="294">
        <v>1</v>
      </c>
      <c r="E1380" s="294">
        <v>1</v>
      </c>
      <c r="F1380" s="295">
        <v>0.9</v>
      </c>
      <c r="G1380" s="300"/>
      <c r="H1380" s="300">
        <v>2.1</v>
      </c>
      <c r="I1380" s="298">
        <f t="shared" si="54"/>
        <v>-1.89</v>
      </c>
      <c r="J1380" s="303"/>
    </row>
    <row r="1381" spans="1:14" s="67" customFormat="1" ht="24.75" customHeight="1">
      <c r="A1381" s="303"/>
      <c r="B1381" s="302" t="s">
        <v>628</v>
      </c>
      <c r="C1381" s="294">
        <v>1</v>
      </c>
      <c r="D1381" s="294">
        <v>1</v>
      </c>
      <c r="E1381" s="294">
        <v>1</v>
      </c>
      <c r="F1381" s="295">
        <f>0.9+2.1+2.1</f>
        <v>5.0999999999999996</v>
      </c>
      <c r="G1381" s="300">
        <v>0.115</v>
      </c>
      <c r="H1381" s="300"/>
      <c r="I1381" s="298">
        <f t="shared" si="54"/>
        <v>0.59</v>
      </c>
      <c r="J1381" s="303"/>
    </row>
    <row r="1382" spans="1:14" s="67" customFormat="1" ht="24.75" customHeight="1">
      <c r="A1382" s="303"/>
      <c r="B1382" s="302" t="s">
        <v>585</v>
      </c>
      <c r="C1382" s="294">
        <v>1</v>
      </c>
      <c r="D1382" s="294">
        <v>1</v>
      </c>
      <c r="E1382" s="294">
        <v>1</v>
      </c>
      <c r="F1382" s="295">
        <v>3.9</v>
      </c>
      <c r="G1382" s="300"/>
      <c r="H1382" s="300">
        <v>2.9249999999999998</v>
      </c>
      <c r="I1382" s="298">
        <f t="shared" si="54"/>
        <v>11.41</v>
      </c>
      <c r="J1382" s="303"/>
      <c r="N1382" s="67">
        <f>0.8+1.15+0.8+1.15</f>
        <v>3.9</v>
      </c>
    </row>
    <row r="1383" spans="1:14" s="67" customFormat="1" ht="24.75" customHeight="1">
      <c r="A1383" s="303"/>
      <c r="B1383" s="302" t="s">
        <v>120</v>
      </c>
      <c r="C1383" s="294">
        <v>-1</v>
      </c>
      <c r="D1383" s="294">
        <v>1</v>
      </c>
      <c r="E1383" s="294">
        <v>1</v>
      </c>
      <c r="F1383" s="295">
        <v>1.1499999999999999</v>
      </c>
      <c r="G1383" s="300"/>
      <c r="H1383" s="300">
        <v>2.1</v>
      </c>
      <c r="I1383" s="298">
        <f t="shared" si="54"/>
        <v>-2.42</v>
      </c>
      <c r="J1383" s="303"/>
    </row>
    <row r="1384" spans="1:14" s="67" customFormat="1" ht="24.75" customHeight="1">
      <c r="A1384" s="303"/>
      <c r="B1384" s="302" t="s">
        <v>448</v>
      </c>
      <c r="C1384" s="294">
        <v>1</v>
      </c>
      <c r="D1384" s="294">
        <v>1</v>
      </c>
      <c r="E1384" s="294">
        <v>1</v>
      </c>
      <c r="F1384" s="295">
        <f>1.15+2.1+2.1</f>
        <v>5.35</v>
      </c>
      <c r="G1384" s="300">
        <v>0.115</v>
      </c>
      <c r="H1384" s="300"/>
      <c r="I1384" s="298">
        <f t="shared" si="54"/>
        <v>0.62</v>
      </c>
      <c r="J1384" s="303"/>
    </row>
    <row r="1385" spans="1:14" s="67" customFormat="1" ht="24.75" customHeight="1">
      <c r="A1385" s="303"/>
      <c r="B1385" s="302" t="s">
        <v>627</v>
      </c>
      <c r="C1385" s="294">
        <v>1</v>
      </c>
      <c r="D1385" s="294">
        <v>1</v>
      </c>
      <c r="E1385" s="294">
        <v>4</v>
      </c>
      <c r="F1385" s="295">
        <v>5</v>
      </c>
      <c r="G1385" s="300"/>
      <c r="H1385" s="295">
        <v>0.6</v>
      </c>
      <c r="I1385" s="298">
        <f t="shared" si="54"/>
        <v>12</v>
      </c>
      <c r="J1385" s="303"/>
      <c r="N1385" s="70">
        <f>3.1+1.9</f>
        <v>5</v>
      </c>
    </row>
    <row r="1386" spans="1:14" s="67" customFormat="1" ht="24.75" customHeight="1">
      <c r="A1386" s="303"/>
      <c r="B1386" s="302" t="s">
        <v>626</v>
      </c>
      <c r="C1386" s="294">
        <v>1</v>
      </c>
      <c r="D1386" s="294">
        <v>1</v>
      </c>
      <c r="E1386" s="294">
        <v>4</v>
      </c>
      <c r="F1386" s="295">
        <v>6.1</v>
      </c>
      <c r="G1386" s="300"/>
      <c r="H1386" s="295">
        <v>0.6</v>
      </c>
      <c r="I1386" s="298">
        <f t="shared" si="54"/>
        <v>14.64</v>
      </c>
      <c r="J1386" s="303"/>
      <c r="N1386" s="67">
        <f>1.9+1.83+1.699+0.676</f>
        <v>6.1050000000000004</v>
      </c>
    </row>
    <row r="1387" spans="1:14" s="67" customFormat="1" ht="24.75" customHeight="1">
      <c r="A1387" s="303"/>
      <c r="B1387" s="302" t="s">
        <v>625</v>
      </c>
      <c r="C1387" s="294">
        <v>1</v>
      </c>
      <c r="D1387" s="294">
        <v>1</v>
      </c>
      <c r="E1387" s="294">
        <v>4</v>
      </c>
      <c r="F1387" s="295">
        <v>5.64</v>
      </c>
      <c r="G1387" s="300"/>
      <c r="H1387" s="295">
        <v>0.83</v>
      </c>
      <c r="I1387" s="298">
        <f t="shared" si="54"/>
        <v>18.72</v>
      </c>
      <c r="J1387" s="303"/>
      <c r="N1387" s="67">
        <f>3.33+2.31</f>
        <v>5.64</v>
      </c>
    </row>
    <row r="1388" spans="1:14" s="67" customFormat="1" ht="24.75" customHeight="1">
      <c r="A1388" s="303"/>
      <c r="B1388" s="302" t="s">
        <v>624</v>
      </c>
      <c r="C1388" s="294">
        <v>1</v>
      </c>
      <c r="D1388" s="294">
        <v>1</v>
      </c>
      <c r="E1388" s="294">
        <v>4</v>
      </c>
      <c r="F1388" s="295">
        <v>6.82</v>
      </c>
      <c r="G1388" s="300"/>
      <c r="H1388" s="295">
        <v>0.83</v>
      </c>
      <c r="I1388" s="298">
        <f t="shared" si="54"/>
        <v>22.64</v>
      </c>
      <c r="J1388" s="303"/>
    </row>
    <row r="1389" spans="1:14" s="67" customFormat="1" ht="24.75" customHeight="1">
      <c r="A1389" s="303"/>
      <c r="B1389" s="302" t="s">
        <v>623</v>
      </c>
      <c r="C1389" s="294">
        <v>1</v>
      </c>
      <c r="D1389" s="294">
        <v>1</v>
      </c>
      <c r="E1389" s="294">
        <v>4</v>
      </c>
      <c r="F1389" s="295">
        <v>14.62</v>
      </c>
      <c r="G1389" s="300"/>
      <c r="H1389" s="295">
        <v>3.05</v>
      </c>
      <c r="I1389" s="298">
        <f t="shared" si="54"/>
        <v>178.36</v>
      </c>
      <c r="J1389" s="303"/>
      <c r="N1389" s="67">
        <f>2+1.917+0.774+2.13</f>
        <v>6.8209999999999997</v>
      </c>
    </row>
    <row r="1390" spans="1:14" s="67" customFormat="1" ht="24.75" customHeight="1">
      <c r="A1390" s="303"/>
      <c r="B1390" s="302" t="s">
        <v>622</v>
      </c>
      <c r="C1390" s="294">
        <v>1</v>
      </c>
      <c r="D1390" s="294">
        <v>1</v>
      </c>
      <c r="E1390" s="294">
        <v>3</v>
      </c>
      <c r="F1390" s="295">
        <v>11.43</v>
      </c>
      <c r="G1390" s="300"/>
      <c r="H1390" s="295">
        <v>3.05</v>
      </c>
      <c r="I1390" s="298">
        <f t="shared" si="54"/>
        <v>104.58</v>
      </c>
      <c r="J1390" s="303"/>
      <c r="N1390" s="67">
        <f>4.288+2.85+4.288</f>
        <v>11.426</v>
      </c>
    </row>
    <row r="1391" spans="1:14" s="67" customFormat="1" ht="24.75" customHeight="1">
      <c r="A1391" s="303"/>
      <c r="B1391" s="302" t="s">
        <v>231</v>
      </c>
      <c r="C1391" s="294">
        <v>-1</v>
      </c>
      <c r="D1391" s="294">
        <v>3</v>
      </c>
      <c r="E1391" s="294">
        <v>2</v>
      </c>
      <c r="F1391" s="295">
        <v>1.2</v>
      </c>
      <c r="G1391" s="300"/>
      <c r="H1391" s="295">
        <v>1.35</v>
      </c>
      <c r="I1391" s="298">
        <f t="shared" si="54"/>
        <v>-9.7200000000000006</v>
      </c>
      <c r="J1391" s="303"/>
    </row>
    <row r="1392" spans="1:14" s="67" customFormat="1" ht="24.75" customHeight="1">
      <c r="A1392" s="303"/>
      <c r="B1392" s="302" t="s">
        <v>621</v>
      </c>
      <c r="C1392" s="294">
        <v>1</v>
      </c>
      <c r="D1392" s="294">
        <v>3</v>
      </c>
      <c r="E1392" s="294">
        <v>2</v>
      </c>
      <c r="F1392" s="295">
        <v>5.4</v>
      </c>
      <c r="G1392" s="295">
        <v>0.23</v>
      </c>
      <c r="H1392" s="295"/>
      <c r="I1392" s="298">
        <f t="shared" si="54"/>
        <v>7.45</v>
      </c>
      <c r="J1392" s="303"/>
      <c r="N1392" s="67">
        <f>1.2+1.5+1.2+1.5</f>
        <v>5.4</v>
      </c>
    </row>
    <row r="1393" spans="1:30" s="6" customFormat="1">
      <c r="A1393" s="427"/>
      <c r="B1393" s="427" t="s">
        <v>931</v>
      </c>
      <c r="C1393" s="428">
        <v>1</v>
      </c>
      <c r="D1393" s="428">
        <v>1</v>
      </c>
      <c r="E1393" s="428">
        <v>79</v>
      </c>
      <c r="F1393" s="430">
        <v>1.5</v>
      </c>
      <c r="G1393" s="430"/>
      <c r="H1393" s="430">
        <v>2.65</v>
      </c>
      <c r="I1393" s="430">
        <f t="shared" si="54"/>
        <v>314.02999999999997</v>
      </c>
      <c r="J1393" s="431"/>
    </row>
    <row r="1394" spans="1:30" s="6" customFormat="1">
      <c r="A1394" s="427"/>
      <c r="B1394" s="427" t="s">
        <v>75</v>
      </c>
      <c r="C1394" s="428">
        <v>1</v>
      </c>
      <c r="D1394" s="428">
        <v>1</v>
      </c>
      <c r="E1394" s="428">
        <v>54</v>
      </c>
      <c r="F1394" s="430">
        <v>1.8</v>
      </c>
      <c r="G1394" s="430"/>
      <c r="H1394" s="430">
        <v>2.65</v>
      </c>
      <c r="I1394" s="430">
        <f t="shared" si="54"/>
        <v>257.58</v>
      </c>
      <c r="J1394" s="431"/>
    </row>
    <row r="1395" spans="1:30" s="6" customFormat="1">
      <c r="A1395" s="427"/>
      <c r="B1395" s="427" t="s">
        <v>76</v>
      </c>
      <c r="C1395" s="428">
        <v>1</v>
      </c>
      <c r="D1395" s="428">
        <v>1</v>
      </c>
      <c r="E1395" s="428">
        <v>3</v>
      </c>
      <c r="F1395" s="430">
        <v>1.8</v>
      </c>
      <c r="G1395" s="430"/>
      <c r="H1395" s="430">
        <v>2.65</v>
      </c>
      <c r="I1395" s="430">
        <f t="shared" si="54"/>
        <v>14.31</v>
      </c>
      <c r="J1395" s="431"/>
    </row>
    <row r="1396" spans="1:30" s="6" customFormat="1">
      <c r="A1396" s="427"/>
      <c r="B1396" s="427" t="s">
        <v>485</v>
      </c>
      <c r="C1396" s="428">
        <v>1</v>
      </c>
      <c r="D1396" s="428">
        <v>1</v>
      </c>
      <c r="E1396" s="428">
        <v>7</v>
      </c>
      <c r="F1396" s="430">
        <v>2.1</v>
      </c>
      <c r="G1396" s="430"/>
      <c r="H1396" s="430">
        <v>2.65</v>
      </c>
      <c r="I1396" s="430">
        <f t="shared" si="54"/>
        <v>38.96</v>
      </c>
      <c r="J1396" s="431"/>
    </row>
    <row r="1397" spans="1:30" s="6" customFormat="1">
      <c r="A1397" s="427"/>
      <c r="B1397" s="427" t="s">
        <v>487</v>
      </c>
      <c r="C1397" s="428">
        <v>1</v>
      </c>
      <c r="D1397" s="428">
        <v>1</v>
      </c>
      <c r="E1397" s="428">
        <v>1</v>
      </c>
      <c r="F1397" s="430">
        <v>2.2599999999999998</v>
      </c>
      <c r="G1397" s="430"/>
      <c r="H1397" s="430">
        <v>2.65</v>
      </c>
      <c r="I1397" s="430">
        <f t="shared" si="54"/>
        <v>5.99</v>
      </c>
      <c r="J1397" s="431"/>
    </row>
    <row r="1398" spans="1:30" s="5" customFormat="1" ht="23.25" customHeight="1">
      <c r="A1398" s="289"/>
      <c r="B1398" s="342"/>
      <c r="C1398" s="346"/>
      <c r="D1398" s="280"/>
      <c r="E1398" s="346"/>
      <c r="F1398" s="337"/>
      <c r="G1398" s="595" t="s">
        <v>41</v>
      </c>
      <c r="H1398" s="596"/>
      <c r="I1398" s="416">
        <f>SUM(I1313:I1397)</f>
        <v>1524.15</v>
      </c>
      <c r="J1398" s="343" t="s">
        <v>42</v>
      </c>
      <c r="K1398" s="44"/>
      <c r="L1398" s="44"/>
      <c r="M1398" s="44"/>
      <c r="N1398" s="7"/>
      <c r="O1398" s="7"/>
      <c r="P1398" s="7"/>
      <c r="Q1398" s="7"/>
      <c r="R1398" s="7"/>
      <c r="S1398" s="7"/>
      <c r="T1398" s="7"/>
      <c r="U1398" s="7"/>
      <c r="V1398" s="7"/>
      <c r="W1398" s="7"/>
      <c r="X1398" s="7"/>
      <c r="Y1398" s="7"/>
      <c r="Z1398" s="7"/>
      <c r="AA1398" s="7"/>
      <c r="AB1398" s="7"/>
      <c r="AC1398" s="7"/>
      <c r="AD1398" s="7"/>
    </row>
    <row r="1399" spans="1:30" s="99" customFormat="1" ht="23.25" customHeight="1">
      <c r="A1399" s="289"/>
      <c r="B1399" s="319" t="s">
        <v>410</v>
      </c>
      <c r="C1399" s="294"/>
      <c r="D1399" s="280"/>
      <c r="E1399" s="294"/>
      <c r="F1399" s="338"/>
      <c r="G1399" s="338"/>
      <c r="H1399" s="338"/>
      <c r="I1399" s="347"/>
      <c r="J1399" s="340"/>
      <c r="K1399" s="39"/>
      <c r="L1399" s="39"/>
      <c r="M1399" s="39"/>
      <c r="N1399" s="100"/>
      <c r="O1399" s="100"/>
      <c r="P1399" s="100"/>
      <c r="Q1399" s="100"/>
      <c r="R1399" s="100"/>
      <c r="S1399" s="100"/>
      <c r="T1399" s="100"/>
      <c r="U1399" s="100"/>
      <c r="V1399" s="100"/>
      <c r="W1399" s="100"/>
      <c r="X1399" s="100"/>
      <c r="Y1399" s="100"/>
      <c r="Z1399" s="100"/>
      <c r="AA1399" s="100"/>
      <c r="AB1399" s="100"/>
      <c r="AC1399" s="100"/>
      <c r="AD1399" s="100"/>
    </row>
    <row r="1400" spans="1:30" s="65" customFormat="1" ht="23.25" customHeight="1">
      <c r="A1400" s="294"/>
      <c r="B1400" s="320" t="s">
        <v>409</v>
      </c>
      <c r="C1400" s="294"/>
      <c r="D1400" s="294"/>
      <c r="E1400" s="294"/>
      <c r="F1400" s="300"/>
      <c r="G1400" s="300"/>
      <c r="H1400" s="295"/>
      <c r="I1400" s="298"/>
      <c r="J1400" s="322"/>
    </row>
    <row r="1401" spans="1:30" s="65" customFormat="1" ht="23.25" customHeight="1">
      <c r="A1401" s="294"/>
      <c r="B1401" s="302" t="s">
        <v>408</v>
      </c>
      <c r="C1401" s="294">
        <v>10</v>
      </c>
      <c r="D1401" s="294">
        <v>1</v>
      </c>
      <c r="E1401" s="294">
        <v>1</v>
      </c>
      <c r="F1401" s="295">
        <v>17.059999999999999</v>
      </c>
      <c r="G1401" s="300"/>
      <c r="H1401" s="294">
        <v>2.9249999999999998</v>
      </c>
      <c r="I1401" s="298">
        <f t="shared" ref="I1401:I1410" si="55">PRODUCT(C1401:H1401)</f>
        <v>499.01</v>
      </c>
      <c r="J1401" s="322"/>
      <c r="N1401" s="75">
        <f>5.18+3.35+5.18+3.35</f>
        <v>17.059999999999999</v>
      </c>
    </row>
    <row r="1402" spans="1:30" s="65" customFormat="1" ht="23.25" customHeight="1">
      <c r="A1402" s="294"/>
      <c r="B1402" s="302" t="s">
        <v>407</v>
      </c>
      <c r="C1402" s="294">
        <v>-10</v>
      </c>
      <c r="D1402" s="294">
        <v>1</v>
      </c>
      <c r="E1402" s="294">
        <v>1</v>
      </c>
      <c r="F1402" s="295">
        <v>1</v>
      </c>
      <c r="G1402" s="300"/>
      <c r="H1402" s="295">
        <v>2.1</v>
      </c>
      <c r="I1402" s="298">
        <f t="shared" si="55"/>
        <v>-21</v>
      </c>
      <c r="J1402" s="322"/>
    </row>
    <row r="1403" spans="1:30" s="65" customFormat="1" ht="23.25" customHeight="1">
      <c r="A1403" s="294"/>
      <c r="B1403" s="302" t="s">
        <v>406</v>
      </c>
      <c r="C1403" s="294">
        <v>10</v>
      </c>
      <c r="D1403" s="294">
        <v>1</v>
      </c>
      <c r="E1403" s="294">
        <v>1</v>
      </c>
      <c r="F1403" s="295">
        <v>5.2</v>
      </c>
      <c r="G1403" s="295">
        <v>0.23</v>
      </c>
      <c r="H1403" s="295"/>
      <c r="I1403" s="298">
        <f t="shared" si="55"/>
        <v>11.96</v>
      </c>
      <c r="J1403" s="322"/>
      <c r="N1403" s="65">
        <f>1+2.1+2.1</f>
        <v>5.2</v>
      </c>
      <c r="O1403" s="65">
        <f>0.23</f>
        <v>0.23</v>
      </c>
    </row>
    <row r="1404" spans="1:30" s="65" customFormat="1" ht="23.25" customHeight="1">
      <c r="A1404" s="294"/>
      <c r="B1404" s="302" t="s">
        <v>405</v>
      </c>
      <c r="C1404" s="294">
        <v>-10</v>
      </c>
      <c r="D1404" s="294">
        <v>1</v>
      </c>
      <c r="E1404" s="294">
        <v>2</v>
      </c>
      <c r="F1404" s="295">
        <v>0.9</v>
      </c>
      <c r="G1404" s="300"/>
      <c r="H1404" s="295">
        <v>2.1</v>
      </c>
      <c r="I1404" s="298">
        <f t="shared" si="55"/>
        <v>-37.799999999999997</v>
      </c>
      <c r="J1404" s="322"/>
      <c r="N1404" s="65" t="s">
        <v>53</v>
      </c>
    </row>
    <row r="1405" spans="1:30" s="65" customFormat="1" ht="23.25" customHeight="1">
      <c r="A1405" s="294"/>
      <c r="B1405" s="302" t="s">
        <v>404</v>
      </c>
      <c r="C1405" s="294">
        <v>-10</v>
      </c>
      <c r="D1405" s="294">
        <v>1</v>
      </c>
      <c r="E1405" s="294">
        <v>1</v>
      </c>
      <c r="F1405" s="295">
        <v>1.1499999999999999</v>
      </c>
      <c r="G1405" s="300"/>
      <c r="H1405" s="294">
        <v>2.375</v>
      </c>
      <c r="I1405" s="298">
        <f t="shared" si="55"/>
        <v>-27.31</v>
      </c>
      <c r="J1405" s="322"/>
      <c r="N1405" s="65">
        <f>2.85-0.125</f>
        <v>2.7250000000000001</v>
      </c>
      <c r="O1405" s="65">
        <f>N1405-H1405</f>
        <v>0.35</v>
      </c>
    </row>
    <row r="1406" spans="1:30" s="65" customFormat="1" ht="23.25" customHeight="1">
      <c r="A1406" s="294"/>
      <c r="B1406" s="302" t="s">
        <v>403</v>
      </c>
      <c r="C1406" s="294">
        <v>10</v>
      </c>
      <c r="D1406" s="294">
        <v>1</v>
      </c>
      <c r="E1406" s="294">
        <v>1</v>
      </c>
      <c r="F1406" s="295">
        <v>5.9</v>
      </c>
      <c r="G1406" s="300">
        <v>0.23</v>
      </c>
      <c r="H1406" s="294"/>
      <c r="I1406" s="298">
        <f t="shared" si="55"/>
        <v>13.57</v>
      </c>
      <c r="J1406" s="322"/>
      <c r="N1406" s="80">
        <f>1.15+2.375+2.375</f>
        <v>5.9</v>
      </c>
    </row>
    <row r="1407" spans="1:30" s="65" customFormat="1" ht="23.25" customHeight="1">
      <c r="A1407" s="294"/>
      <c r="B1407" s="302" t="s">
        <v>402</v>
      </c>
      <c r="C1407" s="294">
        <v>-10</v>
      </c>
      <c r="D1407" s="294">
        <v>1</v>
      </c>
      <c r="E1407" s="294">
        <v>1</v>
      </c>
      <c r="F1407" s="295">
        <v>1.5</v>
      </c>
      <c r="G1407" s="300"/>
      <c r="H1407" s="295">
        <v>1.8</v>
      </c>
      <c r="I1407" s="298">
        <f t="shared" si="55"/>
        <v>-27</v>
      </c>
      <c r="J1407" s="322"/>
    </row>
    <row r="1408" spans="1:30" s="65" customFormat="1" ht="23.25" customHeight="1">
      <c r="A1408" s="294"/>
      <c r="B1408" s="302" t="s">
        <v>401</v>
      </c>
      <c r="C1408" s="294">
        <v>10</v>
      </c>
      <c r="D1408" s="294">
        <v>1</v>
      </c>
      <c r="E1408" s="294">
        <v>1</v>
      </c>
      <c r="F1408" s="295">
        <v>6.6</v>
      </c>
      <c r="G1408" s="295">
        <v>0.23</v>
      </c>
      <c r="H1408" s="294"/>
      <c r="I1408" s="298">
        <f t="shared" si="55"/>
        <v>15.18</v>
      </c>
      <c r="J1408" s="322"/>
      <c r="N1408" s="65">
        <f>1.5+1.8+1.5+1.8</f>
        <v>6.6</v>
      </c>
    </row>
    <row r="1409" spans="1:15" s="65" customFormat="1" ht="23.25" customHeight="1">
      <c r="A1409" s="294"/>
      <c r="B1409" s="302" t="s">
        <v>400</v>
      </c>
      <c r="C1409" s="294">
        <v>10</v>
      </c>
      <c r="D1409" s="294">
        <v>1</v>
      </c>
      <c r="E1409" s="294">
        <v>1</v>
      </c>
      <c r="F1409" s="295">
        <v>3.35</v>
      </c>
      <c r="G1409" s="295">
        <v>0.45</v>
      </c>
      <c r="H1409" s="294"/>
      <c r="I1409" s="298">
        <f t="shared" si="55"/>
        <v>15.08</v>
      </c>
      <c r="J1409" s="322"/>
    </row>
    <row r="1410" spans="1:15" s="65" customFormat="1" ht="23.25" customHeight="1">
      <c r="A1410" s="294"/>
      <c r="B1410" s="302" t="s">
        <v>399</v>
      </c>
      <c r="C1410" s="294">
        <v>10</v>
      </c>
      <c r="D1410" s="294">
        <v>2</v>
      </c>
      <c r="E1410" s="294">
        <v>2</v>
      </c>
      <c r="F1410" s="295">
        <v>0.45</v>
      </c>
      <c r="G1410" s="300"/>
      <c r="H1410" s="295">
        <v>2.1</v>
      </c>
      <c r="I1410" s="298">
        <f t="shared" si="55"/>
        <v>37.799999999999997</v>
      </c>
      <c r="J1410" s="322"/>
    </row>
    <row r="1411" spans="1:15" s="65" customFormat="1" ht="23.25" customHeight="1">
      <c r="A1411" s="294"/>
      <c r="B1411" s="320" t="s">
        <v>398</v>
      </c>
      <c r="C1411" s="294"/>
      <c r="D1411" s="294"/>
      <c r="E1411" s="294"/>
      <c r="F1411" s="300"/>
      <c r="G1411" s="300"/>
      <c r="H1411" s="294"/>
      <c r="I1411" s="298"/>
      <c r="J1411" s="322"/>
    </row>
    <row r="1412" spans="1:15" s="65" customFormat="1" ht="23.25" customHeight="1">
      <c r="A1412" s="294"/>
      <c r="B1412" s="302" t="s">
        <v>397</v>
      </c>
      <c r="C1412" s="294">
        <v>10</v>
      </c>
      <c r="D1412" s="294">
        <v>1</v>
      </c>
      <c r="E1412" s="294">
        <v>1</v>
      </c>
      <c r="F1412" s="295">
        <v>13.9</v>
      </c>
      <c r="G1412" s="300"/>
      <c r="H1412" s="294">
        <v>2.9249999999999998</v>
      </c>
      <c r="I1412" s="298">
        <f t="shared" ref="I1412:I1420" si="56">PRODUCT(C1412:H1412)</f>
        <v>406.58</v>
      </c>
      <c r="J1412" s="322"/>
      <c r="N1412" s="80">
        <f>3.6+3.35+3.6+3.35</f>
        <v>13.9</v>
      </c>
    </row>
    <row r="1413" spans="1:15" s="65" customFormat="1" ht="23.25" customHeight="1">
      <c r="A1413" s="294"/>
      <c r="B1413" s="302" t="s">
        <v>374</v>
      </c>
      <c r="C1413" s="294">
        <v>-10</v>
      </c>
      <c r="D1413" s="294">
        <v>1</v>
      </c>
      <c r="E1413" s="294">
        <v>1</v>
      </c>
      <c r="F1413" s="295">
        <v>0.75</v>
      </c>
      <c r="G1413" s="300"/>
      <c r="H1413" s="295">
        <v>2.1</v>
      </c>
      <c r="I1413" s="298">
        <f t="shared" si="56"/>
        <v>-15.75</v>
      </c>
      <c r="J1413" s="322"/>
    </row>
    <row r="1414" spans="1:15" s="65" customFormat="1" ht="23.25" customHeight="1">
      <c r="A1414" s="294"/>
      <c r="B1414" s="302" t="s">
        <v>386</v>
      </c>
      <c r="C1414" s="294">
        <v>-10</v>
      </c>
      <c r="D1414" s="294">
        <v>1</v>
      </c>
      <c r="E1414" s="294">
        <v>1</v>
      </c>
      <c r="F1414" s="295">
        <v>0.9</v>
      </c>
      <c r="G1414" s="300"/>
      <c r="H1414" s="295">
        <v>2.1</v>
      </c>
      <c r="I1414" s="298">
        <f t="shared" si="56"/>
        <v>-18.899999999999999</v>
      </c>
      <c r="J1414" s="322"/>
    </row>
    <row r="1415" spans="1:15" s="65" customFormat="1" ht="23.25" customHeight="1">
      <c r="A1415" s="294"/>
      <c r="B1415" s="302" t="s">
        <v>396</v>
      </c>
      <c r="C1415" s="294">
        <v>-10</v>
      </c>
      <c r="D1415" s="294">
        <v>1</v>
      </c>
      <c r="E1415" s="294">
        <v>1</v>
      </c>
      <c r="F1415" s="295">
        <v>5.0999999999999996</v>
      </c>
      <c r="G1415" s="300">
        <v>1.4999999999999999E-2</v>
      </c>
      <c r="H1415" s="294"/>
      <c r="I1415" s="298">
        <f t="shared" si="56"/>
        <v>-0.77</v>
      </c>
      <c r="J1415" s="322"/>
    </row>
    <row r="1416" spans="1:15" s="65" customFormat="1" ht="23.25" customHeight="1">
      <c r="A1416" s="294"/>
      <c r="B1416" s="302" t="s">
        <v>384</v>
      </c>
      <c r="C1416" s="294">
        <v>-10</v>
      </c>
      <c r="D1416" s="294">
        <v>1</v>
      </c>
      <c r="E1416" s="294">
        <v>1</v>
      </c>
      <c r="F1416" s="295">
        <v>1.8</v>
      </c>
      <c r="G1416" s="300"/>
      <c r="H1416" s="294">
        <v>1.35</v>
      </c>
      <c r="I1416" s="298">
        <f t="shared" si="56"/>
        <v>-24.3</v>
      </c>
      <c r="J1416" s="322"/>
    </row>
    <row r="1417" spans="1:15" s="65" customFormat="1" ht="23.25" customHeight="1">
      <c r="A1417" s="294"/>
      <c r="B1417" s="302" t="s">
        <v>395</v>
      </c>
      <c r="C1417" s="294">
        <v>10</v>
      </c>
      <c r="D1417" s="294">
        <v>1</v>
      </c>
      <c r="E1417" s="294">
        <v>1</v>
      </c>
      <c r="F1417" s="295">
        <v>6.3</v>
      </c>
      <c r="G1417" s="300">
        <v>0.23</v>
      </c>
      <c r="H1417" s="294"/>
      <c r="I1417" s="298">
        <f t="shared" si="56"/>
        <v>14.49</v>
      </c>
      <c r="J1417" s="322"/>
      <c r="N1417" s="65">
        <f>1.8+1.35+1.8+1.35</f>
        <v>6.3</v>
      </c>
    </row>
    <row r="1418" spans="1:15" s="65" customFormat="1" ht="23.25" customHeight="1">
      <c r="A1418" s="294"/>
      <c r="B1418" s="302" t="s">
        <v>362</v>
      </c>
      <c r="C1418" s="294">
        <v>10</v>
      </c>
      <c r="D1418" s="294">
        <v>1</v>
      </c>
      <c r="E1418" s="294">
        <v>1</v>
      </c>
      <c r="F1418" s="295">
        <v>3.35</v>
      </c>
      <c r="G1418" s="300">
        <v>0.6</v>
      </c>
      <c r="H1418" s="294"/>
      <c r="I1418" s="298">
        <f t="shared" si="56"/>
        <v>20.100000000000001</v>
      </c>
      <c r="J1418" s="322"/>
    </row>
    <row r="1419" spans="1:15" s="65" customFormat="1" ht="23.25" customHeight="1">
      <c r="A1419" s="294"/>
      <c r="B1419" s="302" t="s">
        <v>394</v>
      </c>
      <c r="C1419" s="294">
        <v>10</v>
      </c>
      <c r="D1419" s="294">
        <v>1</v>
      </c>
      <c r="E1419" s="294">
        <v>2</v>
      </c>
      <c r="F1419" s="295">
        <v>0.6</v>
      </c>
      <c r="G1419" s="300"/>
      <c r="H1419" s="295">
        <v>2</v>
      </c>
      <c r="I1419" s="298">
        <f t="shared" si="56"/>
        <v>24</v>
      </c>
      <c r="J1419" s="322"/>
    </row>
    <row r="1420" spans="1:15" s="65" customFormat="1" ht="23.25" customHeight="1">
      <c r="A1420" s="294"/>
      <c r="B1420" s="302" t="s">
        <v>393</v>
      </c>
      <c r="C1420" s="294">
        <v>10</v>
      </c>
      <c r="D1420" s="294">
        <v>1</v>
      </c>
      <c r="E1420" s="294">
        <v>2</v>
      </c>
      <c r="F1420" s="295">
        <v>0.45</v>
      </c>
      <c r="G1420" s="300"/>
      <c r="H1420" s="295">
        <v>2</v>
      </c>
      <c r="I1420" s="298">
        <f t="shared" si="56"/>
        <v>18</v>
      </c>
      <c r="J1420" s="322"/>
    </row>
    <row r="1421" spans="1:15" s="95" customFormat="1" ht="23.25" customHeight="1">
      <c r="A1421" s="289"/>
      <c r="B1421" s="320" t="s">
        <v>392</v>
      </c>
      <c r="C1421" s="289"/>
      <c r="D1421" s="289"/>
      <c r="E1421" s="289"/>
      <c r="F1421" s="513"/>
      <c r="G1421" s="513"/>
      <c r="H1421" s="289"/>
      <c r="I1421" s="291"/>
      <c r="J1421" s="324"/>
    </row>
    <row r="1422" spans="1:15" s="65" customFormat="1" ht="23.25" customHeight="1">
      <c r="A1422" s="294"/>
      <c r="B1422" s="302" t="s">
        <v>391</v>
      </c>
      <c r="C1422" s="294">
        <v>10</v>
      </c>
      <c r="D1422" s="294">
        <v>1</v>
      </c>
      <c r="E1422" s="294">
        <v>1</v>
      </c>
      <c r="F1422" s="295">
        <v>6.97</v>
      </c>
      <c r="G1422" s="300"/>
      <c r="H1422" s="294">
        <v>2.8250000000000002</v>
      </c>
      <c r="I1422" s="298">
        <f>PRODUCT(C1422:H1422)</f>
        <v>196.9</v>
      </c>
      <c r="J1422" s="322"/>
      <c r="N1422" s="65">
        <f>1.2+2.285+1.2+2.285</f>
        <v>6.97</v>
      </c>
      <c r="O1422" s="65">
        <f>2.85-0.125-0.3</f>
        <v>2.4249999999999998</v>
      </c>
    </row>
    <row r="1423" spans="1:15" s="65" customFormat="1" ht="23.25" customHeight="1">
      <c r="A1423" s="294"/>
      <c r="B1423" s="302" t="s">
        <v>390</v>
      </c>
      <c r="C1423" s="294">
        <v>-10</v>
      </c>
      <c r="D1423" s="294">
        <v>1</v>
      </c>
      <c r="E1423" s="294">
        <v>1</v>
      </c>
      <c r="F1423" s="295">
        <v>0.75</v>
      </c>
      <c r="G1423" s="300"/>
      <c r="H1423" s="295">
        <v>2.1</v>
      </c>
      <c r="I1423" s="298">
        <f>PRODUCT(C1423:H1423)</f>
        <v>-15.75</v>
      </c>
      <c r="J1423" s="322"/>
      <c r="N1423" s="65">
        <f>0.75+2.1+2.1</f>
        <v>4.95</v>
      </c>
    </row>
    <row r="1424" spans="1:15" s="65" customFormat="1" ht="23.25" customHeight="1">
      <c r="A1424" s="294"/>
      <c r="B1424" s="302" t="s">
        <v>389</v>
      </c>
      <c r="C1424" s="294">
        <v>10</v>
      </c>
      <c r="D1424" s="294">
        <v>1</v>
      </c>
      <c r="E1424" s="294">
        <v>1</v>
      </c>
      <c r="F1424" s="295">
        <v>4.95</v>
      </c>
      <c r="G1424" s="300">
        <v>0.115</v>
      </c>
      <c r="H1424" s="294"/>
      <c r="I1424" s="298">
        <f>PRODUCT(C1424:H1424)</f>
        <v>5.69</v>
      </c>
      <c r="J1424" s="322"/>
    </row>
    <row r="1425" spans="1:14" s="65" customFormat="1" ht="23.25" customHeight="1">
      <c r="A1425" s="294"/>
      <c r="B1425" s="302" t="s">
        <v>372</v>
      </c>
      <c r="C1425" s="294">
        <v>-10</v>
      </c>
      <c r="D1425" s="294">
        <v>1</v>
      </c>
      <c r="E1425" s="294">
        <v>1</v>
      </c>
      <c r="F1425" s="295">
        <v>0.75</v>
      </c>
      <c r="G1425" s="300"/>
      <c r="H1425" s="294">
        <v>0.75</v>
      </c>
      <c r="I1425" s="298">
        <f>PRODUCT(C1425:H1425)</f>
        <v>-5.63</v>
      </c>
      <c r="J1425" s="322"/>
    </row>
    <row r="1426" spans="1:14" s="65" customFormat="1" ht="23.25" customHeight="1">
      <c r="A1426" s="294"/>
      <c r="B1426" s="302" t="s">
        <v>371</v>
      </c>
      <c r="C1426" s="294">
        <v>10</v>
      </c>
      <c r="D1426" s="294">
        <v>1</v>
      </c>
      <c r="E1426" s="294">
        <v>1</v>
      </c>
      <c r="F1426" s="295">
        <v>3</v>
      </c>
      <c r="G1426" s="300">
        <v>0.23</v>
      </c>
      <c r="H1426" s="294"/>
      <c r="I1426" s="298">
        <f>PRODUCT(C1426:H1426)</f>
        <v>6.9</v>
      </c>
      <c r="J1426" s="322"/>
      <c r="N1426" s="98">
        <f>0.75+0.75+0.75+0.75</f>
        <v>3</v>
      </c>
    </row>
    <row r="1427" spans="1:14" s="65" customFormat="1" ht="23.25" customHeight="1">
      <c r="A1427" s="294"/>
      <c r="B1427" s="320" t="s">
        <v>388</v>
      </c>
      <c r="C1427" s="294"/>
      <c r="D1427" s="294"/>
      <c r="E1427" s="294"/>
      <c r="F1427" s="300"/>
      <c r="G1427" s="300"/>
      <c r="H1427" s="295"/>
      <c r="I1427" s="298"/>
      <c r="J1427" s="322"/>
    </row>
    <row r="1428" spans="1:14" s="65" customFormat="1" ht="23.25" customHeight="1">
      <c r="A1428" s="294"/>
      <c r="B1428" s="302" t="s">
        <v>387</v>
      </c>
      <c r="C1428" s="294">
        <v>10</v>
      </c>
      <c r="D1428" s="294">
        <v>1</v>
      </c>
      <c r="E1428" s="294">
        <v>1</v>
      </c>
      <c r="F1428" s="295">
        <v>13.7</v>
      </c>
      <c r="G1428" s="300"/>
      <c r="H1428" s="294">
        <v>2.9249999999999998</v>
      </c>
      <c r="I1428" s="298">
        <f t="shared" ref="I1428:I1437" si="57">PRODUCT(C1428:H1428)</f>
        <v>400.73</v>
      </c>
      <c r="J1428" s="322"/>
      <c r="N1428" s="80">
        <f>3.35+3.5+3.35+3.5</f>
        <v>13.7</v>
      </c>
    </row>
    <row r="1429" spans="1:14" s="65" customFormat="1" ht="23.25" customHeight="1">
      <c r="A1429" s="294"/>
      <c r="B1429" s="302" t="s">
        <v>386</v>
      </c>
      <c r="C1429" s="294">
        <v>-10</v>
      </c>
      <c r="D1429" s="294">
        <v>1</v>
      </c>
      <c r="E1429" s="294">
        <v>1</v>
      </c>
      <c r="F1429" s="295">
        <v>0.9</v>
      </c>
      <c r="G1429" s="300"/>
      <c r="H1429" s="295">
        <v>2.1</v>
      </c>
      <c r="I1429" s="298">
        <f t="shared" si="57"/>
        <v>-18.899999999999999</v>
      </c>
      <c r="J1429" s="322"/>
    </row>
    <row r="1430" spans="1:14" s="65" customFormat="1" ht="23.25" customHeight="1">
      <c r="A1430" s="294"/>
      <c r="B1430" s="302" t="s">
        <v>385</v>
      </c>
      <c r="C1430" s="294">
        <v>10</v>
      </c>
      <c r="D1430" s="294">
        <v>1</v>
      </c>
      <c r="E1430" s="294">
        <v>1</v>
      </c>
      <c r="F1430" s="295">
        <v>5.0999999999999996</v>
      </c>
      <c r="G1430" s="300">
        <v>1.4999999999999999E-2</v>
      </c>
      <c r="H1430" s="294"/>
      <c r="I1430" s="298">
        <f t="shared" si="57"/>
        <v>0.77</v>
      </c>
      <c r="J1430" s="322"/>
    </row>
    <row r="1431" spans="1:14" s="65" customFormat="1" ht="23.25" customHeight="1">
      <c r="A1431" s="294"/>
      <c r="B1431" s="302" t="s">
        <v>384</v>
      </c>
      <c r="C1431" s="294">
        <v>-12</v>
      </c>
      <c r="D1431" s="294">
        <v>1</v>
      </c>
      <c r="E1431" s="294">
        <v>1</v>
      </c>
      <c r="F1431" s="295">
        <v>1.8</v>
      </c>
      <c r="G1431" s="300"/>
      <c r="H1431" s="294">
        <v>1.35</v>
      </c>
      <c r="I1431" s="298">
        <f t="shared" si="57"/>
        <v>-29.16</v>
      </c>
      <c r="J1431" s="322"/>
    </row>
    <row r="1432" spans="1:14" s="65" customFormat="1" ht="23.25" customHeight="1">
      <c r="A1432" s="294"/>
      <c r="B1432" s="302" t="s">
        <v>383</v>
      </c>
      <c r="C1432" s="294">
        <v>12</v>
      </c>
      <c r="D1432" s="294">
        <v>1</v>
      </c>
      <c r="E1432" s="294">
        <v>1</v>
      </c>
      <c r="F1432" s="295">
        <v>6.3</v>
      </c>
      <c r="G1432" s="300">
        <v>0.23</v>
      </c>
      <c r="H1432" s="294"/>
      <c r="I1432" s="298">
        <f t="shared" si="57"/>
        <v>17.39</v>
      </c>
      <c r="J1432" s="322"/>
    </row>
    <row r="1433" spans="1:14" s="65" customFormat="1" ht="23.25" customHeight="1">
      <c r="A1433" s="294"/>
      <c r="B1433" s="302" t="s">
        <v>382</v>
      </c>
      <c r="C1433" s="294">
        <v>-8</v>
      </c>
      <c r="D1433" s="294">
        <v>1</v>
      </c>
      <c r="E1433" s="294">
        <v>1</v>
      </c>
      <c r="F1433" s="295">
        <v>1.5</v>
      </c>
      <c r="G1433" s="300"/>
      <c r="H1433" s="294">
        <v>1.35</v>
      </c>
      <c r="I1433" s="298">
        <f t="shared" si="57"/>
        <v>-16.2</v>
      </c>
      <c r="J1433" s="322"/>
    </row>
    <row r="1434" spans="1:14" s="65" customFormat="1" ht="23.25" customHeight="1">
      <c r="A1434" s="294"/>
      <c r="B1434" s="302" t="s">
        <v>381</v>
      </c>
      <c r="C1434" s="294">
        <v>8</v>
      </c>
      <c r="D1434" s="294">
        <v>1</v>
      </c>
      <c r="E1434" s="294">
        <v>1</v>
      </c>
      <c r="F1434" s="295">
        <f>1.5+1.35+1.5+1.35</f>
        <v>5.7</v>
      </c>
      <c r="G1434" s="300">
        <v>0.23</v>
      </c>
      <c r="H1434" s="294"/>
      <c r="I1434" s="298">
        <f t="shared" si="57"/>
        <v>10.49</v>
      </c>
      <c r="J1434" s="322"/>
    </row>
    <row r="1435" spans="1:14" s="65" customFormat="1" ht="23.25" customHeight="1">
      <c r="A1435" s="294"/>
      <c r="B1435" s="302" t="s">
        <v>362</v>
      </c>
      <c r="C1435" s="294">
        <v>10</v>
      </c>
      <c r="D1435" s="294">
        <v>1</v>
      </c>
      <c r="E1435" s="294">
        <v>1</v>
      </c>
      <c r="F1435" s="295">
        <v>3.35</v>
      </c>
      <c r="G1435" s="300">
        <v>0.6</v>
      </c>
      <c r="H1435" s="294"/>
      <c r="I1435" s="298">
        <f t="shared" si="57"/>
        <v>20.100000000000001</v>
      </c>
      <c r="J1435" s="322"/>
    </row>
    <row r="1436" spans="1:14" s="65" customFormat="1" ht="23.25" customHeight="1">
      <c r="A1436" s="294"/>
      <c r="B1436" s="302" t="s">
        <v>380</v>
      </c>
      <c r="C1436" s="294">
        <v>10</v>
      </c>
      <c r="D1436" s="294">
        <v>1</v>
      </c>
      <c r="E1436" s="294">
        <v>2</v>
      </c>
      <c r="F1436" s="295">
        <v>0.6</v>
      </c>
      <c r="G1436" s="300"/>
      <c r="H1436" s="295">
        <v>2.1</v>
      </c>
      <c r="I1436" s="298">
        <f t="shared" si="57"/>
        <v>25.2</v>
      </c>
      <c r="J1436" s="322"/>
    </row>
    <row r="1437" spans="1:14" s="65" customFormat="1" ht="23.25" customHeight="1">
      <c r="A1437" s="294"/>
      <c r="B1437" s="302" t="s">
        <v>361</v>
      </c>
      <c r="C1437" s="294">
        <v>10</v>
      </c>
      <c r="D1437" s="294">
        <v>1</v>
      </c>
      <c r="E1437" s="294">
        <v>2</v>
      </c>
      <c r="F1437" s="295">
        <v>0.45</v>
      </c>
      <c r="G1437" s="300"/>
      <c r="H1437" s="295">
        <v>2.1</v>
      </c>
      <c r="I1437" s="298">
        <f t="shared" si="57"/>
        <v>18.899999999999999</v>
      </c>
      <c r="J1437" s="322"/>
    </row>
    <row r="1438" spans="1:14" s="65" customFormat="1" ht="23.25" customHeight="1">
      <c r="A1438" s="294"/>
      <c r="B1438" s="320" t="s">
        <v>379</v>
      </c>
      <c r="C1438" s="294"/>
      <c r="D1438" s="294"/>
      <c r="E1438" s="294"/>
      <c r="F1438" s="300"/>
      <c r="G1438" s="300"/>
      <c r="H1438" s="294"/>
      <c r="I1438" s="298"/>
      <c r="J1438" s="322"/>
    </row>
    <row r="1439" spans="1:14" s="65" customFormat="1" ht="23.25" customHeight="1">
      <c r="A1439" s="294"/>
      <c r="B1439" s="322" t="s">
        <v>378</v>
      </c>
      <c r="C1439" s="294">
        <v>10</v>
      </c>
      <c r="D1439" s="294">
        <v>1</v>
      </c>
      <c r="E1439" s="294">
        <v>1</v>
      </c>
      <c r="F1439" s="295">
        <v>4.74</v>
      </c>
      <c r="G1439" s="300"/>
      <c r="H1439" s="294">
        <v>2.9249999999999998</v>
      </c>
      <c r="I1439" s="298">
        <f t="shared" ref="I1439:I1447" si="58">PRODUCT(C1439:H1439)</f>
        <v>138.65</v>
      </c>
      <c r="J1439" s="322"/>
      <c r="N1439" s="65">
        <f>1.17+1.2+1.17+1.2</f>
        <v>4.74</v>
      </c>
    </row>
    <row r="1440" spans="1:14" s="65" customFormat="1" ht="23.25" customHeight="1">
      <c r="A1440" s="294"/>
      <c r="B1440" s="302" t="s">
        <v>377</v>
      </c>
      <c r="C1440" s="294">
        <v>-10</v>
      </c>
      <c r="D1440" s="294">
        <v>1</v>
      </c>
      <c r="E1440" s="294">
        <v>1</v>
      </c>
      <c r="F1440" s="295">
        <v>1.1499999999999999</v>
      </c>
      <c r="G1440" s="300"/>
      <c r="H1440" s="294">
        <v>2.7749999999999999</v>
      </c>
      <c r="I1440" s="298">
        <f t="shared" si="58"/>
        <v>-31.91</v>
      </c>
      <c r="J1440" s="322"/>
    </row>
    <row r="1441" spans="1:16" s="65" customFormat="1" ht="23.25" customHeight="1">
      <c r="A1441" s="294"/>
      <c r="B1441" s="302" t="s">
        <v>376</v>
      </c>
      <c r="C1441" s="294">
        <v>-10</v>
      </c>
      <c r="D1441" s="294">
        <v>1</v>
      </c>
      <c r="E1441" s="294">
        <v>1</v>
      </c>
      <c r="F1441" s="295">
        <v>1</v>
      </c>
      <c r="G1441" s="300"/>
      <c r="H1441" s="295">
        <v>2.1</v>
      </c>
      <c r="I1441" s="298">
        <f t="shared" si="58"/>
        <v>-21</v>
      </c>
      <c r="J1441" s="322"/>
    </row>
    <row r="1442" spans="1:16" s="65" customFormat="1" ht="23.25" customHeight="1">
      <c r="A1442" s="294"/>
      <c r="B1442" s="302" t="s">
        <v>374</v>
      </c>
      <c r="C1442" s="294">
        <v>-10</v>
      </c>
      <c r="D1442" s="294">
        <v>1</v>
      </c>
      <c r="E1442" s="294">
        <v>1</v>
      </c>
      <c r="F1442" s="295">
        <v>0.75</v>
      </c>
      <c r="G1442" s="300"/>
      <c r="H1442" s="295">
        <v>2.1</v>
      </c>
      <c r="I1442" s="298">
        <f t="shared" si="58"/>
        <v>-15.75</v>
      </c>
      <c r="J1442" s="322"/>
    </row>
    <row r="1443" spans="1:16" s="65" customFormat="1" ht="23.25" customHeight="1">
      <c r="A1443" s="294"/>
      <c r="B1443" s="320" t="s">
        <v>375</v>
      </c>
      <c r="C1443" s="294">
        <v>10</v>
      </c>
      <c r="D1443" s="294">
        <v>1</v>
      </c>
      <c r="E1443" s="294">
        <v>1</v>
      </c>
      <c r="F1443" s="295">
        <v>6.6</v>
      </c>
      <c r="G1443" s="300"/>
      <c r="H1443" s="294">
        <v>2.7749999999999999</v>
      </c>
      <c r="I1443" s="298">
        <f t="shared" si="58"/>
        <v>183.15</v>
      </c>
      <c r="J1443" s="322"/>
      <c r="N1443" s="65">
        <f>1.2+2.1+1.2+2.1</f>
        <v>6.6</v>
      </c>
    </row>
    <row r="1444" spans="1:16" s="65" customFormat="1" ht="23.25" customHeight="1">
      <c r="A1444" s="294"/>
      <c r="B1444" s="302" t="s">
        <v>374</v>
      </c>
      <c r="C1444" s="294">
        <v>-10</v>
      </c>
      <c r="D1444" s="294">
        <v>1</v>
      </c>
      <c r="E1444" s="294">
        <v>1</v>
      </c>
      <c r="F1444" s="295">
        <v>0.75</v>
      </c>
      <c r="G1444" s="300"/>
      <c r="H1444" s="295">
        <v>2.1</v>
      </c>
      <c r="I1444" s="298">
        <f t="shared" si="58"/>
        <v>-15.75</v>
      </c>
      <c r="J1444" s="322"/>
    </row>
    <row r="1445" spans="1:16" s="65" customFormat="1" ht="23.25" customHeight="1">
      <c r="A1445" s="294"/>
      <c r="B1445" s="302" t="s">
        <v>373</v>
      </c>
      <c r="C1445" s="294">
        <v>10</v>
      </c>
      <c r="D1445" s="294">
        <v>1</v>
      </c>
      <c r="E1445" s="294">
        <v>1</v>
      </c>
      <c r="F1445" s="295">
        <v>4.95</v>
      </c>
      <c r="G1445" s="300">
        <v>0.115</v>
      </c>
      <c r="H1445" s="294"/>
      <c r="I1445" s="298">
        <f t="shared" si="58"/>
        <v>5.69</v>
      </c>
      <c r="J1445" s="322"/>
    </row>
    <row r="1446" spans="1:16" s="65" customFormat="1" ht="23.25" customHeight="1">
      <c r="A1446" s="294"/>
      <c r="B1446" s="302" t="s">
        <v>372</v>
      </c>
      <c r="C1446" s="294">
        <v>-10</v>
      </c>
      <c r="D1446" s="294">
        <v>1</v>
      </c>
      <c r="E1446" s="294">
        <v>1</v>
      </c>
      <c r="F1446" s="295">
        <v>0.75</v>
      </c>
      <c r="G1446" s="300"/>
      <c r="H1446" s="294">
        <v>0.75</v>
      </c>
      <c r="I1446" s="298">
        <f t="shared" si="58"/>
        <v>-5.63</v>
      </c>
      <c r="J1446" s="322"/>
    </row>
    <row r="1447" spans="1:16" s="65" customFormat="1" ht="23.25" customHeight="1">
      <c r="A1447" s="294"/>
      <c r="B1447" s="302" t="s">
        <v>371</v>
      </c>
      <c r="C1447" s="294">
        <v>10</v>
      </c>
      <c r="D1447" s="294">
        <v>1</v>
      </c>
      <c r="E1447" s="294">
        <v>1</v>
      </c>
      <c r="F1447" s="295">
        <v>3</v>
      </c>
      <c r="G1447" s="300">
        <v>0.23</v>
      </c>
      <c r="H1447" s="294"/>
      <c r="I1447" s="298">
        <f t="shared" si="58"/>
        <v>6.9</v>
      </c>
      <c r="J1447" s="322"/>
      <c r="N1447" s="98">
        <f>0.75+0.75+0.75+0.75</f>
        <v>3</v>
      </c>
    </row>
    <row r="1448" spans="1:16" s="97" customFormat="1" ht="23.25" customHeight="1">
      <c r="A1448" s="467"/>
      <c r="B1448" s="320" t="s">
        <v>370</v>
      </c>
      <c r="C1448" s="467"/>
      <c r="D1448" s="467"/>
      <c r="E1448" s="467"/>
      <c r="F1448" s="512"/>
      <c r="G1448" s="512"/>
      <c r="H1448" s="467"/>
      <c r="I1448" s="514"/>
      <c r="J1448" s="515"/>
    </row>
    <row r="1449" spans="1:16" s="65" customFormat="1" ht="23.25" customHeight="1">
      <c r="A1449" s="294"/>
      <c r="B1449" s="302" t="s">
        <v>369</v>
      </c>
      <c r="C1449" s="294">
        <v>10</v>
      </c>
      <c r="D1449" s="294">
        <v>1</v>
      </c>
      <c r="E1449" s="294">
        <v>1</v>
      </c>
      <c r="F1449" s="295">
        <v>7.8</v>
      </c>
      <c r="G1449" s="300"/>
      <c r="H1449" s="294">
        <v>2.9249999999999998</v>
      </c>
      <c r="I1449" s="298">
        <f>PRODUCT(C1449:H1449)</f>
        <v>228.15</v>
      </c>
      <c r="J1449" s="322"/>
      <c r="N1449" s="65">
        <f>1.1+2.8+1.1+2.8</f>
        <v>7.8</v>
      </c>
    </row>
    <row r="1450" spans="1:16" s="65" customFormat="1" ht="23.25" customHeight="1">
      <c r="A1450" s="294"/>
      <c r="B1450" s="302" t="s">
        <v>358</v>
      </c>
      <c r="C1450" s="294">
        <v>-10</v>
      </c>
      <c r="D1450" s="294">
        <v>1</v>
      </c>
      <c r="E1450" s="294">
        <v>1</v>
      </c>
      <c r="F1450" s="295">
        <v>0.75</v>
      </c>
      <c r="G1450" s="300"/>
      <c r="H1450" s="295">
        <v>2.1</v>
      </c>
      <c r="I1450" s="298">
        <f>PRODUCT(C1450:H1450)</f>
        <v>-15.75</v>
      </c>
      <c r="J1450" s="322"/>
    </row>
    <row r="1451" spans="1:16" s="65" customFormat="1" ht="23.25" customHeight="1">
      <c r="A1451" s="294"/>
      <c r="B1451" s="302" t="s">
        <v>368</v>
      </c>
      <c r="C1451" s="294">
        <v>10</v>
      </c>
      <c r="D1451" s="294">
        <v>1</v>
      </c>
      <c r="E1451" s="294">
        <v>1</v>
      </c>
      <c r="F1451" s="295">
        <f>0.75+2.1+2.1</f>
        <v>4.95</v>
      </c>
      <c r="G1451" s="300">
        <v>0.115</v>
      </c>
      <c r="H1451" s="295"/>
      <c r="I1451" s="298">
        <f>PRODUCT(C1451:H1451)</f>
        <v>5.69</v>
      </c>
      <c r="J1451" s="322"/>
    </row>
    <row r="1452" spans="1:16" s="65" customFormat="1" ht="23.25" customHeight="1">
      <c r="A1452" s="294"/>
      <c r="B1452" s="302" t="s">
        <v>367</v>
      </c>
      <c r="C1452" s="294">
        <v>-10</v>
      </c>
      <c r="D1452" s="294">
        <v>1</v>
      </c>
      <c r="E1452" s="294">
        <v>1</v>
      </c>
      <c r="F1452" s="295">
        <v>1.1000000000000001</v>
      </c>
      <c r="G1452" s="300"/>
      <c r="H1452" s="294">
        <v>1.05</v>
      </c>
      <c r="I1452" s="298">
        <f>PRODUCT(C1452:H1452)</f>
        <v>-11.55</v>
      </c>
      <c r="J1452" s="322"/>
    </row>
    <row r="1453" spans="1:16" s="65" customFormat="1" ht="23.25" customHeight="1">
      <c r="A1453" s="294"/>
      <c r="B1453" s="302" t="s">
        <v>366</v>
      </c>
      <c r="C1453" s="294">
        <v>-10</v>
      </c>
      <c r="D1453" s="294">
        <v>1</v>
      </c>
      <c r="E1453" s="294">
        <v>1</v>
      </c>
      <c r="F1453" s="295">
        <v>1.6</v>
      </c>
      <c r="G1453" s="300"/>
      <c r="H1453" s="295">
        <v>1.5</v>
      </c>
      <c r="I1453" s="298">
        <f>PRODUCT(C1453:H1453)</f>
        <v>-24</v>
      </c>
      <c r="J1453" s="322"/>
      <c r="N1453" s="65">
        <f>2.85-0.125</f>
        <v>2.7250000000000001</v>
      </c>
      <c r="O1453" s="65">
        <f>1.5</f>
        <v>1.5</v>
      </c>
      <c r="P1453" s="65">
        <f>N1453-O1453</f>
        <v>1.2250000000000001</v>
      </c>
    </row>
    <row r="1454" spans="1:16" s="65" customFormat="1" ht="23.25" customHeight="1">
      <c r="A1454" s="294"/>
      <c r="B1454" s="320" t="s">
        <v>365</v>
      </c>
      <c r="C1454" s="294"/>
      <c r="D1454" s="294"/>
      <c r="E1454" s="294"/>
      <c r="F1454" s="300"/>
      <c r="G1454" s="300"/>
      <c r="H1454" s="294"/>
      <c r="I1454" s="298"/>
      <c r="J1454" s="322"/>
    </row>
    <row r="1455" spans="1:16" s="65" customFormat="1" ht="23.25" customHeight="1">
      <c r="A1455" s="294"/>
      <c r="B1455" s="302" t="s">
        <v>364</v>
      </c>
      <c r="C1455" s="294">
        <v>10</v>
      </c>
      <c r="D1455" s="294">
        <v>1</v>
      </c>
      <c r="E1455" s="294">
        <v>1</v>
      </c>
      <c r="F1455" s="295">
        <v>10.4</v>
      </c>
      <c r="G1455" s="300"/>
      <c r="H1455" s="294">
        <v>2.9249999999999998</v>
      </c>
      <c r="I1455" s="298">
        <f t="shared" ref="I1455:I1467" si="59">PRODUCT(C1455:H1455)</f>
        <v>304.2</v>
      </c>
      <c r="J1455" s="322"/>
      <c r="N1455" s="80">
        <f>2.8+2.4+2.8+2.4</f>
        <v>10.4</v>
      </c>
    </row>
    <row r="1456" spans="1:16" s="65" customFormat="1" ht="23.25" customHeight="1">
      <c r="A1456" s="294"/>
      <c r="B1456" s="302" t="s">
        <v>363</v>
      </c>
      <c r="C1456" s="294">
        <v>10</v>
      </c>
      <c r="D1456" s="294">
        <v>1</v>
      </c>
      <c r="E1456" s="294">
        <v>1</v>
      </c>
      <c r="F1456" s="295">
        <v>2.4</v>
      </c>
      <c r="G1456" s="300">
        <v>0.6</v>
      </c>
      <c r="H1456" s="294"/>
      <c r="I1456" s="298">
        <f t="shared" si="59"/>
        <v>14.4</v>
      </c>
      <c r="J1456" s="322"/>
    </row>
    <row r="1457" spans="1:14" s="65" customFormat="1" ht="23.25" customHeight="1">
      <c r="A1457" s="294"/>
      <c r="B1457" s="302" t="s">
        <v>362</v>
      </c>
      <c r="C1457" s="294">
        <v>10</v>
      </c>
      <c r="D1457" s="294">
        <v>1</v>
      </c>
      <c r="E1457" s="294">
        <v>1</v>
      </c>
      <c r="F1457" s="295">
        <v>2.8</v>
      </c>
      <c r="G1457" s="300">
        <v>0.6</v>
      </c>
      <c r="H1457" s="294"/>
      <c r="I1457" s="298">
        <f t="shared" si="59"/>
        <v>16.8</v>
      </c>
      <c r="J1457" s="322"/>
    </row>
    <row r="1458" spans="1:14" s="65" customFormat="1" ht="23.25" customHeight="1">
      <c r="A1458" s="294"/>
      <c r="B1458" s="302" t="s">
        <v>361</v>
      </c>
      <c r="C1458" s="294">
        <v>10</v>
      </c>
      <c r="D1458" s="294">
        <v>2</v>
      </c>
      <c r="E1458" s="294">
        <v>3</v>
      </c>
      <c r="F1458" s="295">
        <v>0.6</v>
      </c>
      <c r="G1458" s="300"/>
      <c r="H1458" s="295">
        <v>2.1</v>
      </c>
      <c r="I1458" s="298">
        <f t="shared" si="59"/>
        <v>75.599999999999994</v>
      </c>
      <c r="J1458" s="322"/>
    </row>
    <row r="1459" spans="1:14" s="65" customFormat="1" ht="23.25" customHeight="1">
      <c r="A1459" s="294"/>
      <c r="B1459" s="302" t="s">
        <v>360</v>
      </c>
      <c r="C1459" s="294">
        <v>-10</v>
      </c>
      <c r="D1459" s="294">
        <v>1</v>
      </c>
      <c r="E1459" s="294">
        <v>1</v>
      </c>
      <c r="F1459" s="295">
        <v>1.1000000000000001</v>
      </c>
      <c r="G1459" s="300"/>
      <c r="H1459" s="294">
        <v>1.05</v>
      </c>
      <c r="I1459" s="298">
        <f t="shared" si="59"/>
        <v>-11.55</v>
      </c>
      <c r="J1459" s="322"/>
    </row>
    <row r="1460" spans="1:14" s="65" customFormat="1" ht="23.25" customHeight="1">
      <c r="A1460" s="294"/>
      <c r="B1460" s="302" t="s">
        <v>359</v>
      </c>
      <c r="C1460" s="294">
        <v>10</v>
      </c>
      <c r="D1460" s="294">
        <v>1</v>
      </c>
      <c r="E1460" s="294">
        <v>1</v>
      </c>
      <c r="F1460" s="295">
        <v>4.3</v>
      </c>
      <c r="G1460" s="300">
        <v>0.23</v>
      </c>
      <c r="H1460" s="294"/>
      <c r="I1460" s="298">
        <f t="shared" si="59"/>
        <v>9.89</v>
      </c>
      <c r="J1460" s="322"/>
      <c r="N1460" s="80">
        <f>1.1+1.05+1.1+1.05</f>
        <v>4.3</v>
      </c>
    </row>
    <row r="1461" spans="1:14" s="65" customFormat="1" ht="23.25" customHeight="1">
      <c r="A1461" s="294"/>
      <c r="B1461" s="302" t="s">
        <v>358</v>
      </c>
      <c r="C1461" s="294">
        <v>-10</v>
      </c>
      <c r="D1461" s="294">
        <v>1</v>
      </c>
      <c r="E1461" s="294">
        <v>1</v>
      </c>
      <c r="F1461" s="295">
        <v>0.75</v>
      </c>
      <c r="G1461" s="300"/>
      <c r="H1461" s="295">
        <v>2.1</v>
      </c>
      <c r="I1461" s="298">
        <f t="shared" si="59"/>
        <v>-15.75</v>
      </c>
      <c r="J1461" s="322"/>
    </row>
    <row r="1462" spans="1:14" s="65" customFormat="1" ht="23.25" customHeight="1">
      <c r="A1462" s="294"/>
      <c r="B1462" s="302" t="s">
        <v>138</v>
      </c>
      <c r="C1462" s="294">
        <v>-10</v>
      </c>
      <c r="D1462" s="294">
        <v>1</v>
      </c>
      <c r="E1462" s="294">
        <v>1</v>
      </c>
      <c r="F1462" s="295">
        <v>1</v>
      </c>
      <c r="G1462" s="300"/>
      <c r="H1462" s="295">
        <v>2.1</v>
      </c>
      <c r="I1462" s="298">
        <f t="shared" si="59"/>
        <v>-21</v>
      </c>
      <c r="J1462" s="322"/>
    </row>
    <row r="1463" spans="1:14" s="65" customFormat="1" ht="23.25" customHeight="1">
      <c r="A1463" s="294"/>
      <c r="B1463" s="302" t="s">
        <v>357</v>
      </c>
      <c r="C1463" s="294">
        <v>10</v>
      </c>
      <c r="D1463" s="294">
        <v>1</v>
      </c>
      <c r="E1463" s="294">
        <v>1</v>
      </c>
      <c r="F1463" s="295">
        <f>1+2.1+2.1</f>
        <v>5.2</v>
      </c>
      <c r="G1463" s="300">
        <v>0.115</v>
      </c>
      <c r="H1463" s="294"/>
      <c r="I1463" s="298">
        <f t="shared" si="59"/>
        <v>5.98</v>
      </c>
      <c r="J1463" s="322"/>
    </row>
    <row r="1464" spans="1:14" s="65" customFormat="1" ht="23.25" customHeight="1">
      <c r="A1464" s="294"/>
      <c r="B1464" s="302" t="s">
        <v>356</v>
      </c>
      <c r="C1464" s="294">
        <v>10</v>
      </c>
      <c r="D1464" s="294">
        <v>1</v>
      </c>
      <c r="E1464" s="294">
        <v>1</v>
      </c>
      <c r="F1464" s="295">
        <v>7.26</v>
      </c>
      <c r="G1464" s="300"/>
      <c r="H1464" s="294">
        <v>2.9249999999999998</v>
      </c>
      <c r="I1464" s="298">
        <f t="shared" si="59"/>
        <v>212.36</v>
      </c>
      <c r="J1464" s="322"/>
      <c r="N1464" s="65">
        <f>2.015+1.615+2.015+1.615</f>
        <v>7.26</v>
      </c>
    </row>
    <row r="1465" spans="1:14" s="65" customFormat="1" ht="23.25" customHeight="1">
      <c r="A1465" s="294"/>
      <c r="B1465" s="302" t="s">
        <v>94</v>
      </c>
      <c r="C1465" s="294">
        <v>-10</v>
      </c>
      <c r="D1465" s="294">
        <v>1</v>
      </c>
      <c r="E1465" s="294">
        <v>1</v>
      </c>
      <c r="F1465" s="295">
        <v>1</v>
      </c>
      <c r="G1465" s="300"/>
      <c r="H1465" s="295">
        <v>2.1</v>
      </c>
      <c r="I1465" s="298">
        <f t="shared" si="59"/>
        <v>-21</v>
      </c>
      <c r="J1465" s="322"/>
    </row>
    <row r="1466" spans="1:14" s="65" customFormat="1" ht="23.25" customHeight="1">
      <c r="A1466" s="294"/>
      <c r="B1466" s="302" t="s">
        <v>140</v>
      </c>
      <c r="C1466" s="294">
        <v>-10</v>
      </c>
      <c r="D1466" s="294">
        <v>1</v>
      </c>
      <c r="E1466" s="294">
        <v>1</v>
      </c>
      <c r="F1466" s="295">
        <v>1</v>
      </c>
      <c r="G1466" s="300"/>
      <c r="H1466" s="295">
        <v>2.1</v>
      </c>
      <c r="I1466" s="298">
        <f t="shared" si="59"/>
        <v>-21</v>
      </c>
      <c r="J1466" s="322"/>
    </row>
    <row r="1467" spans="1:14" s="65" customFormat="1" ht="23.25" customHeight="1">
      <c r="A1467" s="294"/>
      <c r="B1467" s="302" t="s">
        <v>355</v>
      </c>
      <c r="C1467" s="294">
        <v>10</v>
      </c>
      <c r="D1467" s="294">
        <v>1</v>
      </c>
      <c r="E1467" s="294">
        <v>1</v>
      </c>
      <c r="F1467" s="295">
        <v>5.2</v>
      </c>
      <c r="G1467" s="300">
        <v>0.115</v>
      </c>
      <c r="H1467" s="294"/>
      <c r="I1467" s="298">
        <f t="shared" si="59"/>
        <v>5.98</v>
      </c>
      <c r="J1467" s="322"/>
      <c r="N1467" s="65">
        <f>1+2.1+2.1</f>
        <v>5.2</v>
      </c>
    </row>
    <row r="1468" spans="1:14" s="65" customFormat="1" ht="23.25" customHeight="1">
      <c r="A1468" s="294"/>
      <c r="B1468" s="320" t="s">
        <v>354</v>
      </c>
      <c r="C1468" s="294"/>
      <c r="D1468" s="294"/>
      <c r="E1468" s="294"/>
      <c r="F1468" s="300"/>
      <c r="G1468" s="300"/>
      <c r="H1468" s="294"/>
      <c r="I1468" s="298"/>
      <c r="J1468" s="322"/>
    </row>
    <row r="1469" spans="1:14" s="95" customFormat="1" ht="21" customHeight="1">
      <c r="A1469" s="289"/>
      <c r="B1469" s="319" t="s">
        <v>353</v>
      </c>
      <c r="C1469" s="289"/>
      <c r="D1469" s="289"/>
      <c r="E1469" s="289"/>
      <c r="F1469" s="513"/>
      <c r="G1469" s="513"/>
      <c r="H1469" s="513"/>
      <c r="I1469" s="298"/>
      <c r="J1469" s="289"/>
      <c r="K1469" s="96"/>
      <c r="L1469" s="96"/>
      <c r="M1469" s="96"/>
    </row>
    <row r="1470" spans="1:14" s="94" customFormat="1" ht="44.25" customHeight="1">
      <c r="A1470" s="307"/>
      <c r="B1470" s="293" t="s">
        <v>352</v>
      </c>
      <c r="C1470" s="307">
        <v>3</v>
      </c>
      <c r="D1470" s="307">
        <v>1</v>
      </c>
      <c r="E1470" s="307">
        <v>1</v>
      </c>
      <c r="F1470" s="308">
        <v>11.43</v>
      </c>
      <c r="G1470" s="308"/>
      <c r="H1470" s="317">
        <v>3.05</v>
      </c>
      <c r="I1470" s="323">
        <f t="shared" ref="I1470:I1507" si="60">PRODUCT(C1470:H1470)</f>
        <v>104.58</v>
      </c>
      <c r="J1470" s="307"/>
      <c r="N1470" s="94">
        <f>4.288+2.85+4.288</f>
        <v>11.426</v>
      </c>
    </row>
    <row r="1471" spans="1:14" s="65" customFormat="1" ht="21" customHeight="1">
      <c r="A1471" s="294"/>
      <c r="B1471" s="293" t="s">
        <v>351</v>
      </c>
      <c r="C1471" s="307">
        <v>-3</v>
      </c>
      <c r="D1471" s="307">
        <v>1</v>
      </c>
      <c r="E1471" s="307">
        <v>1</v>
      </c>
      <c r="F1471" s="308">
        <v>1.8</v>
      </c>
      <c r="G1471" s="317"/>
      <c r="H1471" s="308">
        <v>1.35</v>
      </c>
      <c r="I1471" s="323">
        <f t="shared" si="60"/>
        <v>-7.29</v>
      </c>
      <c r="J1471" s="294"/>
      <c r="K1471" s="54"/>
      <c r="L1471" s="54"/>
      <c r="M1471" s="54"/>
    </row>
    <row r="1472" spans="1:14" s="65" customFormat="1" ht="30" customHeight="1">
      <c r="A1472" s="307"/>
      <c r="B1472" s="293" t="s">
        <v>349</v>
      </c>
      <c r="C1472" s="307">
        <v>3</v>
      </c>
      <c r="D1472" s="307">
        <v>1</v>
      </c>
      <c r="E1472" s="307">
        <v>1</v>
      </c>
      <c r="F1472" s="308">
        <v>6.3</v>
      </c>
      <c r="G1472" s="317"/>
      <c r="H1472" s="308">
        <v>0.23</v>
      </c>
      <c r="I1472" s="323">
        <f t="shared" si="60"/>
        <v>4.3499999999999996</v>
      </c>
      <c r="J1472" s="294"/>
      <c r="K1472" s="54"/>
      <c r="L1472" s="54"/>
      <c r="M1472" s="54"/>
      <c r="N1472" s="65">
        <f>1.8+1.35+1.8+1.35</f>
        <v>6.3</v>
      </c>
    </row>
    <row r="1473" spans="1:14" s="65" customFormat="1" ht="21" customHeight="1">
      <c r="A1473" s="294"/>
      <c r="B1473" s="293" t="s">
        <v>350</v>
      </c>
      <c r="C1473" s="307">
        <v>-3</v>
      </c>
      <c r="D1473" s="307">
        <v>1</v>
      </c>
      <c r="E1473" s="307">
        <v>1</v>
      </c>
      <c r="F1473" s="308">
        <v>1.2</v>
      </c>
      <c r="G1473" s="317"/>
      <c r="H1473" s="308">
        <v>1.35</v>
      </c>
      <c r="I1473" s="323">
        <f t="shared" si="60"/>
        <v>-4.8600000000000003</v>
      </c>
      <c r="J1473" s="294"/>
      <c r="K1473" s="54"/>
      <c r="L1473" s="54"/>
      <c r="M1473" s="54"/>
    </row>
    <row r="1474" spans="1:14" s="65" customFormat="1" ht="21" customHeight="1">
      <c r="A1474" s="307"/>
      <c r="B1474" s="297" t="s">
        <v>349</v>
      </c>
      <c r="C1474" s="307">
        <v>3</v>
      </c>
      <c r="D1474" s="307">
        <v>1</v>
      </c>
      <c r="E1474" s="307">
        <v>2</v>
      </c>
      <c r="F1474" s="308">
        <v>5.0999999999999996</v>
      </c>
      <c r="G1474" s="317"/>
      <c r="H1474" s="308">
        <v>0.23</v>
      </c>
      <c r="I1474" s="323">
        <f t="shared" si="60"/>
        <v>7.04</v>
      </c>
      <c r="J1474" s="294"/>
      <c r="K1474" s="54"/>
      <c r="L1474" s="54"/>
      <c r="M1474" s="54"/>
      <c r="N1474" s="80">
        <f>1.2+1.35+1.2+1.35</f>
        <v>5.0999999999999996</v>
      </c>
    </row>
    <row r="1475" spans="1:14" s="65" customFormat="1" ht="23.25" customHeight="1">
      <c r="A1475" s="307"/>
      <c r="B1475" s="293" t="s">
        <v>348</v>
      </c>
      <c r="C1475" s="307">
        <v>3</v>
      </c>
      <c r="D1475" s="307">
        <v>1</v>
      </c>
      <c r="E1475" s="307">
        <v>2</v>
      </c>
      <c r="F1475" s="317">
        <v>1.262</v>
      </c>
      <c r="G1475" s="317"/>
      <c r="H1475" s="317">
        <v>2.9249999999999998</v>
      </c>
      <c r="I1475" s="323">
        <f t="shared" si="60"/>
        <v>22.15</v>
      </c>
      <c r="J1475" s="294"/>
      <c r="K1475" s="54"/>
      <c r="L1475" s="54"/>
      <c r="M1475" s="54"/>
      <c r="N1475" s="80"/>
    </row>
    <row r="1476" spans="1:14" s="65" customFormat="1" ht="23.25" customHeight="1">
      <c r="A1476" s="307"/>
      <c r="B1476" s="293" t="s">
        <v>346</v>
      </c>
      <c r="C1476" s="307">
        <v>1</v>
      </c>
      <c r="D1476" s="307">
        <v>1</v>
      </c>
      <c r="E1476" s="307">
        <v>1</v>
      </c>
      <c r="F1476" s="317">
        <v>1.875</v>
      </c>
      <c r="G1476" s="317"/>
      <c r="H1476" s="317">
        <v>2.9249999999999998</v>
      </c>
      <c r="I1476" s="323">
        <f t="shared" si="60"/>
        <v>5.48</v>
      </c>
      <c r="J1476" s="294"/>
      <c r="K1476" s="54"/>
      <c r="L1476" s="54"/>
      <c r="M1476" s="54"/>
      <c r="N1476" s="80"/>
    </row>
    <row r="1477" spans="1:14" s="65" customFormat="1" ht="23.25" customHeight="1">
      <c r="A1477" s="307"/>
      <c r="B1477" s="293" t="s">
        <v>347</v>
      </c>
      <c r="C1477" s="307">
        <v>1</v>
      </c>
      <c r="D1477" s="307">
        <v>1</v>
      </c>
      <c r="E1477" s="307">
        <v>1</v>
      </c>
      <c r="F1477" s="308">
        <v>1.45</v>
      </c>
      <c r="G1477" s="317"/>
      <c r="H1477" s="317">
        <v>2.9249999999999998</v>
      </c>
      <c r="I1477" s="323">
        <f t="shared" si="60"/>
        <v>4.24</v>
      </c>
      <c r="J1477" s="294"/>
      <c r="K1477" s="54"/>
      <c r="L1477" s="54"/>
      <c r="M1477" s="54"/>
      <c r="N1477" s="80"/>
    </row>
    <row r="1478" spans="1:14" s="65" customFormat="1" ht="23.25" customHeight="1">
      <c r="A1478" s="307"/>
      <c r="B1478" s="293" t="s">
        <v>346</v>
      </c>
      <c r="C1478" s="307">
        <v>1</v>
      </c>
      <c r="D1478" s="307">
        <v>1</v>
      </c>
      <c r="E1478" s="307">
        <v>2</v>
      </c>
      <c r="F1478" s="308">
        <v>0.93</v>
      </c>
      <c r="G1478" s="317"/>
      <c r="H1478" s="317">
        <v>2.9249999999999998</v>
      </c>
      <c r="I1478" s="323">
        <f t="shared" si="60"/>
        <v>5.44</v>
      </c>
      <c r="J1478" s="294"/>
      <c r="K1478" s="54"/>
      <c r="L1478" s="54"/>
      <c r="M1478" s="54"/>
      <c r="N1478" s="80"/>
    </row>
    <row r="1479" spans="1:14" s="65" customFormat="1" ht="23.25" customHeight="1">
      <c r="A1479" s="307"/>
      <c r="B1479" s="293" t="s">
        <v>345</v>
      </c>
      <c r="C1479" s="307">
        <v>1</v>
      </c>
      <c r="D1479" s="307">
        <v>1</v>
      </c>
      <c r="E1479" s="307">
        <v>1</v>
      </c>
      <c r="F1479" s="317">
        <v>1.3640000000000001</v>
      </c>
      <c r="G1479" s="317"/>
      <c r="H1479" s="317">
        <v>2.9249999999999998</v>
      </c>
      <c r="I1479" s="323">
        <f t="shared" si="60"/>
        <v>3.99</v>
      </c>
      <c r="J1479" s="294"/>
      <c r="K1479" s="54"/>
      <c r="L1479" s="54"/>
      <c r="M1479" s="54"/>
      <c r="N1479" s="80"/>
    </row>
    <row r="1480" spans="1:14" s="65" customFormat="1" ht="23.25" customHeight="1">
      <c r="A1480" s="307"/>
      <c r="B1480" s="293" t="s">
        <v>344</v>
      </c>
      <c r="C1480" s="307">
        <v>1</v>
      </c>
      <c r="D1480" s="307">
        <v>1</v>
      </c>
      <c r="E1480" s="307">
        <v>2</v>
      </c>
      <c r="F1480" s="317">
        <v>1.917</v>
      </c>
      <c r="G1480" s="317"/>
      <c r="H1480" s="317">
        <v>2.9249999999999998</v>
      </c>
      <c r="I1480" s="323">
        <f t="shared" si="60"/>
        <v>11.21</v>
      </c>
      <c r="J1480" s="294"/>
      <c r="K1480" s="54"/>
      <c r="L1480" s="54"/>
      <c r="M1480" s="54"/>
      <c r="N1480" s="80"/>
    </row>
    <row r="1481" spans="1:14" s="65" customFormat="1" ht="23.25" customHeight="1">
      <c r="A1481" s="307"/>
      <c r="B1481" s="293" t="s">
        <v>344</v>
      </c>
      <c r="C1481" s="307">
        <v>1</v>
      </c>
      <c r="D1481" s="307">
        <v>1</v>
      </c>
      <c r="E1481" s="307">
        <v>2</v>
      </c>
      <c r="F1481" s="317">
        <v>0.77400000000000002</v>
      </c>
      <c r="G1481" s="317"/>
      <c r="H1481" s="317">
        <v>2.9249999999999998</v>
      </c>
      <c r="I1481" s="323">
        <f t="shared" si="60"/>
        <v>4.53</v>
      </c>
      <c r="J1481" s="294"/>
      <c r="K1481" s="54"/>
      <c r="L1481" s="54"/>
      <c r="M1481" s="54"/>
      <c r="N1481" s="80"/>
    </row>
    <row r="1482" spans="1:14" s="65" customFormat="1" ht="23.25" customHeight="1">
      <c r="A1482" s="307"/>
      <c r="B1482" s="293" t="s">
        <v>343</v>
      </c>
      <c r="C1482" s="307">
        <v>1</v>
      </c>
      <c r="D1482" s="307">
        <v>1</v>
      </c>
      <c r="E1482" s="307">
        <v>1</v>
      </c>
      <c r="F1482" s="317">
        <v>1.589</v>
      </c>
      <c r="G1482" s="317"/>
      <c r="H1482" s="317">
        <v>2.9249999999999998</v>
      </c>
      <c r="I1482" s="323">
        <f t="shared" si="60"/>
        <v>4.6500000000000004</v>
      </c>
      <c r="J1482" s="294"/>
      <c r="K1482" s="54"/>
      <c r="L1482" s="54"/>
      <c r="M1482" s="54"/>
      <c r="N1482" s="80"/>
    </row>
    <row r="1483" spans="1:14" s="65" customFormat="1" ht="23.25" customHeight="1">
      <c r="A1483" s="307"/>
      <c r="B1483" s="293" t="s">
        <v>343</v>
      </c>
      <c r="C1483" s="307">
        <v>1</v>
      </c>
      <c r="D1483" s="307">
        <v>1</v>
      </c>
      <c r="E1483" s="307">
        <v>1</v>
      </c>
      <c r="F1483" s="317">
        <v>0.995</v>
      </c>
      <c r="G1483" s="317"/>
      <c r="H1483" s="317">
        <v>2.9249999999999998</v>
      </c>
      <c r="I1483" s="323">
        <f t="shared" si="60"/>
        <v>2.91</v>
      </c>
      <c r="J1483" s="294"/>
      <c r="K1483" s="54"/>
      <c r="L1483" s="54"/>
      <c r="M1483" s="54"/>
      <c r="N1483" s="80">
        <f>0.995+0.935</f>
        <v>1.93</v>
      </c>
    </row>
    <row r="1484" spans="1:14" s="65" customFormat="1" ht="23.25" customHeight="1">
      <c r="A1484" s="307"/>
      <c r="B1484" s="293" t="s">
        <v>343</v>
      </c>
      <c r="C1484" s="307">
        <v>1</v>
      </c>
      <c r="D1484" s="307">
        <v>1</v>
      </c>
      <c r="E1484" s="307">
        <v>1</v>
      </c>
      <c r="F1484" s="317">
        <v>0.93500000000000005</v>
      </c>
      <c r="G1484" s="317"/>
      <c r="H1484" s="317">
        <v>2.9249999999999998</v>
      </c>
      <c r="I1484" s="323">
        <f t="shared" si="60"/>
        <v>2.73</v>
      </c>
      <c r="J1484" s="294"/>
      <c r="K1484" s="54"/>
      <c r="L1484" s="54"/>
      <c r="M1484" s="54"/>
      <c r="N1484" s="80"/>
    </row>
    <row r="1485" spans="1:14" s="65" customFormat="1" ht="23.25" customHeight="1">
      <c r="A1485" s="307"/>
      <c r="B1485" s="293" t="s">
        <v>342</v>
      </c>
      <c r="C1485" s="307">
        <v>1</v>
      </c>
      <c r="D1485" s="307">
        <v>1</v>
      </c>
      <c r="E1485" s="307">
        <v>1</v>
      </c>
      <c r="F1485" s="317">
        <v>2.3199999999999998</v>
      </c>
      <c r="G1485" s="317"/>
      <c r="H1485" s="317">
        <v>2.9249999999999998</v>
      </c>
      <c r="I1485" s="323">
        <f t="shared" si="60"/>
        <v>6.79</v>
      </c>
      <c r="J1485" s="294"/>
      <c r="K1485" s="54"/>
      <c r="L1485" s="54"/>
      <c r="M1485" s="54"/>
      <c r="N1485" s="80"/>
    </row>
    <row r="1486" spans="1:14" s="65" customFormat="1" ht="23.25" customHeight="1">
      <c r="A1486" s="307"/>
      <c r="B1486" s="293" t="s">
        <v>342</v>
      </c>
      <c r="C1486" s="307">
        <v>1</v>
      </c>
      <c r="D1486" s="307">
        <v>1</v>
      </c>
      <c r="E1486" s="307">
        <v>1</v>
      </c>
      <c r="F1486" s="317">
        <v>2.97</v>
      </c>
      <c r="G1486" s="317"/>
      <c r="H1486" s="317">
        <v>2.9249999999999998</v>
      </c>
      <c r="I1486" s="323">
        <f t="shared" si="60"/>
        <v>8.69</v>
      </c>
      <c r="J1486" s="294"/>
      <c r="K1486" s="54"/>
      <c r="L1486" s="54"/>
      <c r="M1486" s="54"/>
      <c r="N1486" s="80"/>
    </row>
    <row r="1487" spans="1:14" s="65" customFormat="1" ht="23.25" customHeight="1">
      <c r="A1487" s="307"/>
      <c r="B1487" s="293" t="s">
        <v>342</v>
      </c>
      <c r="C1487" s="307">
        <v>1</v>
      </c>
      <c r="D1487" s="307">
        <v>1</v>
      </c>
      <c r="E1487" s="307">
        <v>1</v>
      </c>
      <c r="F1487" s="317">
        <v>2.97</v>
      </c>
      <c r="G1487" s="317"/>
      <c r="H1487" s="317">
        <v>2.9249999999999998</v>
      </c>
      <c r="I1487" s="323">
        <f t="shared" si="60"/>
        <v>8.69</v>
      </c>
      <c r="J1487" s="294"/>
      <c r="K1487" s="54"/>
      <c r="L1487" s="54"/>
      <c r="M1487" s="54"/>
      <c r="N1487" s="80"/>
    </row>
    <row r="1488" spans="1:14" s="65" customFormat="1" ht="23.25" customHeight="1">
      <c r="A1488" s="307"/>
      <c r="B1488" s="293" t="s">
        <v>342</v>
      </c>
      <c r="C1488" s="307">
        <v>1</v>
      </c>
      <c r="D1488" s="307">
        <v>1</v>
      </c>
      <c r="E1488" s="307">
        <v>1</v>
      </c>
      <c r="F1488" s="317">
        <v>2.2999999999999998</v>
      </c>
      <c r="G1488" s="317"/>
      <c r="H1488" s="317">
        <v>2.9249999999999998</v>
      </c>
      <c r="I1488" s="323">
        <f t="shared" si="60"/>
        <v>6.73</v>
      </c>
      <c r="J1488" s="294"/>
      <c r="K1488" s="54"/>
      <c r="L1488" s="54"/>
      <c r="M1488" s="54"/>
      <c r="N1488" s="80"/>
    </row>
    <row r="1489" spans="1:14" s="65" customFormat="1" ht="23.25" customHeight="1">
      <c r="A1489" s="307"/>
      <c r="B1489" s="293" t="s">
        <v>341</v>
      </c>
      <c r="C1489" s="307">
        <v>1</v>
      </c>
      <c r="D1489" s="307">
        <v>1</v>
      </c>
      <c r="E1489" s="307">
        <v>2</v>
      </c>
      <c r="F1489" s="317">
        <v>0.98099999999999998</v>
      </c>
      <c r="G1489" s="317"/>
      <c r="H1489" s="317">
        <v>2.9249999999999998</v>
      </c>
      <c r="I1489" s="323">
        <f t="shared" si="60"/>
        <v>5.74</v>
      </c>
      <c r="J1489" s="294"/>
      <c r="K1489" s="54"/>
      <c r="L1489" s="54"/>
      <c r="M1489" s="54"/>
      <c r="N1489" s="80"/>
    </row>
    <row r="1490" spans="1:14" s="65" customFormat="1" ht="23.25" customHeight="1">
      <c r="A1490" s="307"/>
      <c r="B1490" s="293" t="s">
        <v>341</v>
      </c>
      <c r="C1490" s="307">
        <v>1</v>
      </c>
      <c r="D1490" s="307">
        <v>1</v>
      </c>
      <c r="E1490" s="307">
        <v>2</v>
      </c>
      <c r="F1490" s="317">
        <v>0.69499999999999995</v>
      </c>
      <c r="G1490" s="317"/>
      <c r="H1490" s="317">
        <v>2.9249999999999998</v>
      </c>
      <c r="I1490" s="323">
        <f t="shared" si="60"/>
        <v>4.07</v>
      </c>
      <c r="J1490" s="294"/>
      <c r="K1490" s="54"/>
      <c r="L1490" s="54"/>
      <c r="M1490" s="54"/>
      <c r="N1490" s="80"/>
    </row>
    <row r="1491" spans="1:14" s="65" customFormat="1" ht="23.25" customHeight="1">
      <c r="A1491" s="307"/>
      <c r="B1491" s="293" t="s">
        <v>341</v>
      </c>
      <c r="C1491" s="307">
        <v>1</v>
      </c>
      <c r="D1491" s="307">
        <v>1</v>
      </c>
      <c r="E1491" s="307">
        <v>2</v>
      </c>
      <c r="F1491" s="317">
        <v>0.93500000000000005</v>
      </c>
      <c r="G1491" s="317"/>
      <c r="H1491" s="317">
        <v>2.9249999999999998</v>
      </c>
      <c r="I1491" s="323">
        <f t="shared" si="60"/>
        <v>5.47</v>
      </c>
      <c r="J1491" s="294"/>
      <c r="K1491" s="54"/>
      <c r="L1491" s="54"/>
      <c r="M1491" s="54"/>
      <c r="N1491" s="80"/>
    </row>
    <row r="1492" spans="1:14" s="65" customFormat="1" ht="24.75" customHeight="1">
      <c r="A1492" s="307"/>
      <c r="B1492" s="293" t="s">
        <v>340</v>
      </c>
      <c r="C1492" s="307">
        <v>2</v>
      </c>
      <c r="D1492" s="307">
        <v>1</v>
      </c>
      <c r="E1492" s="307">
        <v>1</v>
      </c>
      <c r="F1492" s="317">
        <v>4.9850000000000003</v>
      </c>
      <c r="G1492" s="317"/>
      <c r="H1492" s="317">
        <v>2.9249999999999998</v>
      </c>
      <c r="I1492" s="323">
        <f t="shared" si="60"/>
        <v>29.16</v>
      </c>
      <c r="J1492" s="294"/>
      <c r="K1492" s="54"/>
      <c r="L1492" s="54"/>
      <c r="M1492" s="54"/>
      <c r="N1492" s="80"/>
    </row>
    <row r="1493" spans="1:14" s="65" customFormat="1" ht="24.75" customHeight="1">
      <c r="A1493" s="307"/>
      <c r="B1493" s="293" t="s">
        <v>946</v>
      </c>
      <c r="C1493" s="307">
        <v>2</v>
      </c>
      <c r="D1493" s="307">
        <v>1</v>
      </c>
      <c r="E1493" s="307">
        <v>1</v>
      </c>
      <c r="F1493" s="317">
        <v>27.164999999999999</v>
      </c>
      <c r="G1493" s="317"/>
      <c r="H1493" s="317">
        <v>2.9249999999999998</v>
      </c>
      <c r="I1493" s="323">
        <f>PRODUCT(C1493:H1493)</f>
        <v>158.91999999999999</v>
      </c>
      <c r="J1493" s="294"/>
      <c r="K1493" s="54"/>
      <c r="L1493" s="54"/>
      <c r="M1493" s="54"/>
      <c r="N1493" s="80"/>
    </row>
    <row r="1494" spans="1:14" s="65" customFormat="1" ht="22.5" customHeight="1">
      <c r="A1494" s="307"/>
      <c r="B1494" s="293" t="s">
        <v>339</v>
      </c>
      <c r="C1494" s="307">
        <v>-1</v>
      </c>
      <c r="D1494" s="307">
        <v>1</v>
      </c>
      <c r="E1494" s="307">
        <v>2</v>
      </c>
      <c r="F1494" s="308">
        <v>1.8</v>
      </c>
      <c r="G1494" s="317"/>
      <c r="H1494" s="317">
        <v>2.9249999999999998</v>
      </c>
      <c r="I1494" s="323">
        <f t="shared" si="60"/>
        <v>-10.53</v>
      </c>
      <c r="J1494" s="294"/>
      <c r="K1494" s="54"/>
      <c r="L1494" s="54"/>
      <c r="M1494" s="54"/>
      <c r="N1494" s="80"/>
    </row>
    <row r="1495" spans="1:14" s="65" customFormat="1" ht="22.5" customHeight="1">
      <c r="A1495" s="307"/>
      <c r="B1495" s="293" t="s">
        <v>337</v>
      </c>
      <c r="C1495" s="307">
        <v>-2</v>
      </c>
      <c r="D1495" s="307">
        <v>1</v>
      </c>
      <c r="E1495" s="307">
        <v>2</v>
      </c>
      <c r="F1495" s="308">
        <v>1</v>
      </c>
      <c r="G1495" s="317"/>
      <c r="H1495" s="308">
        <v>2.1</v>
      </c>
      <c r="I1495" s="323">
        <f t="shared" si="60"/>
        <v>-8.4</v>
      </c>
      <c r="J1495" s="294"/>
      <c r="K1495" s="54"/>
      <c r="L1495" s="54"/>
      <c r="M1495" s="54"/>
      <c r="N1495" s="80"/>
    </row>
    <row r="1496" spans="1:14" s="65" customFormat="1" ht="21" customHeight="1">
      <c r="A1496" s="307"/>
      <c r="B1496" s="293" t="s">
        <v>338</v>
      </c>
      <c r="C1496" s="307">
        <v>1</v>
      </c>
      <c r="D1496" s="307">
        <v>1</v>
      </c>
      <c r="E1496" s="307">
        <v>2</v>
      </c>
      <c r="F1496" s="308">
        <v>16.059999999999999</v>
      </c>
      <c r="G1496" s="317"/>
      <c r="H1496" s="317">
        <v>2.9249999999999998</v>
      </c>
      <c r="I1496" s="323">
        <f t="shared" si="60"/>
        <v>93.95</v>
      </c>
      <c r="J1496" s="294"/>
      <c r="K1496" s="54"/>
      <c r="L1496" s="54"/>
      <c r="M1496" s="54"/>
      <c r="N1496" s="80"/>
    </row>
    <row r="1497" spans="1:14" s="65" customFormat="1" ht="21" customHeight="1">
      <c r="A1497" s="307"/>
      <c r="B1497" s="293" t="s">
        <v>337</v>
      </c>
      <c r="C1497" s="307">
        <v>-2</v>
      </c>
      <c r="D1497" s="307">
        <v>1</v>
      </c>
      <c r="E1497" s="307">
        <v>2</v>
      </c>
      <c r="F1497" s="308">
        <v>1</v>
      </c>
      <c r="G1497" s="317"/>
      <c r="H1497" s="308">
        <v>2.1</v>
      </c>
      <c r="I1497" s="323">
        <f t="shared" si="60"/>
        <v>-8.4</v>
      </c>
      <c r="J1497" s="294"/>
      <c r="K1497" s="54"/>
      <c r="L1497" s="54"/>
      <c r="M1497" s="54"/>
      <c r="N1497" s="80"/>
    </row>
    <row r="1498" spans="1:14" s="65" customFormat="1" ht="21" customHeight="1">
      <c r="A1498" s="307"/>
      <c r="B1498" s="293" t="s">
        <v>336</v>
      </c>
      <c r="C1498" s="307">
        <v>-2</v>
      </c>
      <c r="D1498" s="307">
        <v>1</v>
      </c>
      <c r="E1498" s="307">
        <v>1</v>
      </c>
      <c r="F1498" s="308">
        <v>0.9</v>
      </c>
      <c r="G1498" s="317"/>
      <c r="H1498" s="308">
        <v>2.1</v>
      </c>
      <c r="I1498" s="323">
        <f t="shared" si="60"/>
        <v>-3.78</v>
      </c>
      <c r="J1498" s="294"/>
      <c r="K1498" s="54"/>
      <c r="L1498" s="54"/>
      <c r="M1498" s="54"/>
      <c r="N1498" s="80"/>
    </row>
    <row r="1499" spans="1:14" s="65" customFormat="1" ht="21" customHeight="1">
      <c r="A1499" s="307"/>
      <c r="B1499" s="293" t="s">
        <v>335</v>
      </c>
      <c r="C1499" s="307">
        <v>-2</v>
      </c>
      <c r="D1499" s="307">
        <v>1</v>
      </c>
      <c r="E1499" s="307">
        <v>1</v>
      </c>
      <c r="F1499" s="308">
        <v>1</v>
      </c>
      <c r="G1499" s="317"/>
      <c r="H1499" s="317">
        <v>2.1</v>
      </c>
      <c r="I1499" s="323">
        <f t="shared" si="60"/>
        <v>-4.2</v>
      </c>
      <c r="J1499" s="294"/>
      <c r="K1499" s="54"/>
      <c r="L1499" s="54"/>
      <c r="M1499" s="54"/>
      <c r="N1499" s="80"/>
    </row>
    <row r="1500" spans="1:14" s="65" customFormat="1" ht="21" customHeight="1">
      <c r="A1500" s="307"/>
      <c r="B1500" s="293" t="s">
        <v>334</v>
      </c>
      <c r="C1500" s="307">
        <v>-2</v>
      </c>
      <c r="D1500" s="307">
        <v>1</v>
      </c>
      <c r="E1500" s="307">
        <v>2</v>
      </c>
      <c r="F1500" s="308">
        <v>2.88</v>
      </c>
      <c r="G1500" s="317"/>
      <c r="H1500" s="317">
        <v>1.23</v>
      </c>
      <c r="I1500" s="323">
        <f t="shared" si="60"/>
        <v>-14.17</v>
      </c>
      <c r="J1500" s="294"/>
      <c r="K1500" s="54"/>
      <c r="L1500" s="54"/>
      <c r="M1500" s="54"/>
      <c r="N1500" s="80">
        <f>2.725-1.5</f>
        <v>1.23</v>
      </c>
    </row>
    <row r="1501" spans="1:14" s="65" customFormat="1" ht="21" customHeight="1">
      <c r="A1501" s="307"/>
      <c r="B1501" s="293" t="s">
        <v>333</v>
      </c>
      <c r="C1501" s="307">
        <v>-4</v>
      </c>
      <c r="D1501" s="307">
        <v>1</v>
      </c>
      <c r="E1501" s="307">
        <v>1</v>
      </c>
      <c r="F1501" s="308">
        <v>0.75</v>
      </c>
      <c r="G1501" s="317"/>
      <c r="H1501" s="317">
        <v>0.45</v>
      </c>
      <c r="I1501" s="323">
        <f t="shared" si="60"/>
        <v>-1.35</v>
      </c>
      <c r="J1501" s="294"/>
      <c r="K1501" s="54"/>
      <c r="L1501" s="54"/>
      <c r="M1501" s="54"/>
      <c r="N1501" s="80"/>
    </row>
    <row r="1502" spans="1:14" s="65" customFormat="1" ht="21" customHeight="1">
      <c r="A1502" s="307"/>
      <c r="B1502" s="293" t="s">
        <v>332</v>
      </c>
      <c r="C1502" s="307">
        <v>5</v>
      </c>
      <c r="D1502" s="307">
        <v>1</v>
      </c>
      <c r="E1502" s="307">
        <v>1</v>
      </c>
      <c r="F1502" s="308">
        <v>2.4</v>
      </c>
      <c r="G1502" s="317">
        <v>0.23</v>
      </c>
      <c r="H1502" s="317"/>
      <c r="I1502" s="323">
        <f t="shared" si="60"/>
        <v>2.76</v>
      </c>
      <c r="J1502" s="294"/>
      <c r="K1502" s="54"/>
      <c r="L1502" s="54"/>
      <c r="M1502" s="54"/>
      <c r="N1502" s="80">
        <f>0.75+0.45+0.75+0.45</f>
        <v>2.4</v>
      </c>
    </row>
    <row r="1503" spans="1:14" s="65" customFormat="1" ht="21" customHeight="1">
      <c r="A1503" s="307"/>
      <c r="B1503" s="293" t="s">
        <v>331</v>
      </c>
      <c r="C1503" s="307">
        <v>-2</v>
      </c>
      <c r="D1503" s="307">
        <v>1</v>
      </c>
      <c r="E1503" s="307">
        <v>2</v>
      </c>
      <c r="F1503" s="308">
        <v>0.75</v>
      </c>
      <c r="G1503" s="317"/>
      <c r="H1503" s="317">
        <v>0.9</v>
      </c>
      <c r="I1503" s="323">
        <f t="shared" si="60"/>
        <v>-2.7</v>
      </c>
      <c r="J1503" s="294"/>
      <c r="K1503" s="54"/>
      <c r="L1503" s="54"/>
      <c r="M1503" s="54"/>
      <c r="N1503" s="80"/>
    </row>
    <row r="1504" spans="1:14" s="65" customFormat="1" ht="31.5" customHeight="1">
      <c r="A1504" s="294"/>
      <c r="B1504" s="322" t="s">
        <v>620</v>
      </c>
      <c r="C1504" s="307">
        <v>10</v>
      </c>
      <c r="D1504" s="307">
        <v>2</v>
      </c>
      <c r="E1504" s="307">
        <v>1</v>
      </c>
      <c r="F1504" s="308">
        <v>0.4</v>
      </c>
      <c r="G1504" s="317"/>
      <c r="H1504" s="308">
        <v>0.7</v>
      </c>
      <c r="I1504" s="323">
        <f t="shared" si="60"/>
        <v>5.6</v>
      </c>
      <c r="J1504" s="294"/>
      <c r="K1504" s="54"/>
      <c r="L1504" s="54"/>
      <c r="M1504" s="54"/>
    </row>
    <row r="1505" spans="1:30" s="65" customFormat="1" ht="27" customHeight="1">
      <c r="A1505" s="307"/>
      <c r="B1505" s="322" t="s">
        <v>330</v>
      </c>
      <c r="C1505" s="307">
        <v>10</v>
      </c>
      <c r="D1505" s="307">
        <v>2</v>
      </c>
      <c r="E1505" s="307">
        <v>1</v>
      </c>
      <c r="F1505" s="308">
        <v>0.4</v>
      </c>
      <c r="G1505" s="317"/>
      <c r="H1505" s="308">
        <v>0.7</v>
      </c>
      <c r="I1505" s="323">
        <f t="shared" si="60"/>
        <v>5.6</v>
      </c>
      <c r="J1505" s="294"/>
      <c r="K1505" s="54"/>
      <c r="L1505" s="54"/>
      <c r="M1505" s="54"/>
    </row>
    <row r="1506" spans="1:30" s="65" customFormat="1" ht="21" customHeight="1">
      <c r="A1506" s="294"/>
      <c r="B1506" s="322" t="s">
        <v>619</v>
      </c>
      <c r="C1506" s="307">
        <v>10</v>
      </c>
      <c r="D1506" s="307">
        <v>2</v>
      </c>
      <c r="E1506" s="307">
        <v>1</v>
      </c>
      <c r="F1506" s="308">
        <v>0.4</v>
      </c>
      <c r="G1506" s="317"/>
      <c r="H1506" s="308">
        <v>7.0000000000000007E-2</v>
      </c>
      <c r="I1506" s="323">
        <f t="shared" si="60"/>
        <v>0.56000000000000005</v>
      </c>
      <c r="J1506" s="294"/>
      <c r="K1506" s="54"/>
      <c r="L1506" s="54"/>
      <c r="M1506" s="54"/>
    </row>
    <row r="1507" spans="1:30" s="65" customFormat="1" ht="30.75" customHeight="1">
      <c r="A1507" s="307"/>
      <c r="B1507" s="293" t="s">
        <v>619</v>
      </c>
      <c r="C1507" s="307">
        <v>10</v>
      </c>
      <c r="D1507" s="307">
        <v>2</v>
      </c>
      <c r="E1507" s="307">
        <v>1</v>
      </c>
      <c r="F1507" s="308">
        <v>0.4</v>
      </c>
      <c r="G1507" s="317"/>
      <c r="H1507" s="308">
        <v>7.0000000000000007E-2</v>
      </c>
      <c r="I1507" s="323">
        <f t="shared" si="60"/>
        <v>0.56000000000000005</v>
      </c>
      <c r="J1507" s="294"/>
      <c r="K1507" s="54"/>
      <c r="L1507" s="54"/>
      <c r="M1507" s="54"/>
    </row>
    <row r="1508" spans="1:30" s="92" customFormat="1" ht="21" customHeight="1">
      <c r="A1508" s="307"/>
      <c r="B1508" s="320" t="s">
        <v>329</v>
      </c>
      <c r="C1508" s="307"/>
      <c r="D1508" s="307"/>
      <c r="E1508" s="307"/>
      <c r="F1508" s="308"/>
      <c r="G1508" s="308"/>
      <c r="H1508" s="317"/>
      <c r="I1508" s="418"/>
      <c r="J1508" s="302"/>
      <c r="K1508" s="76"/>
      <c r="L1508" s="76"/>
      <c r="M1508" s="76"/>
      <c r="N1508" s="76"/>
      <c r="O1508" s="76"/>
      <c r="P1508" s="76"/>
      <c r="Q1508" s="76"/>
      <c r="R1508" s="76"/>
      <c r="S1508" s="76"/>
      <c r="T1508" s="76"/>
      <c r="U1508" s="76"/>
      <c r="V1508" s="76"/>
      <c r="W1508" s="76"/>
      <c r="X1508" s="76"/>
      <c r="Y1508" s="76"/>
      <c r="Z1508" s="76"/>
      <c r="AA1508" s="76"/>
      <c r="AB1508" s="76"/>
      <c r="AC1508" s="76"/>
      <c r="AD1508" s="76"/>
    </row>
    <row r="1509" spans="1:30" s="92" customFormat="1" ht="21" customHeight="1">
      <c r="A1509" s="307"/>
      <c r="B1509" s="471" t="s">
        <v>618</v>
      </c>
      <c r="C1509" s="307">
        <v>1</v>
      </c>
      <c r="D1509" s="307">
        <v>1</v>
      </c>
      <c r="E1509" s="307">
        <v>2</v>
      </c>
      <c r="F1509" s="308">
        <v>3.9</v>
      </c>
      <c r="G1509" s="308"/>
      <c r="H1509" s="308">
        <v>2.85</v>
      </c>
      <c r="I1509" s="323">
        <f t="shared" ref="I1509:I1514" si="61">PRODUCT(C1509:H1509)</f>
        <v>22.23</v>
      </c>
      <c r="J1509" s="302"/>
      <c r="K1509" s="76"/>
      <c r="L1509" s="76"/>
      <c r="M1509" s="76"/>
      <c r="N1509" s="93">
        <f>0.8+1.15+0.8+1.15</f>
        <v>3.9</v>
      </c>
      <c r="O1509" s="76"/>
      <c r="P1509" s="76"/>
      <c r="Q1509" s="76"/>
      <c r="R1509" s="76"/>
      <c r="S1509" s="76"/>
      <c r="T1509" s="76"/>
      <c r="U1509" s="76"/>
      <c r="V1509" s="76"/>
      <c r="W1509" s="76"/>
      <c r="X1509" s="76"/>
      <c r="Y1509" s="76"/>
      <c r="Z1509" s="76"/>
      <c r="AA1509" s="76"/>
      <c r="AB1509" s="76"/>
      <c r="AC1509" s="76"/>
      <c r="AD1509" s="76"/>
    </row>
    <row r="1510" spans="1:30" s="92" customFormat="1" ht="21" customHeight="1">
      <c r="A1510" s="307"/>
      <c r="B1510" s="516" t="s">
        <v>327</v>
      </c>
      <c r="C1510" s="307">
        <v>-1</v>
      </c>
      <c r="D1510" s="307">
        <v>1</v>
      </c>
      <c r="E1510" s="307">
        <v>2</v>
      </c>
      <c r="F1510" s="308">
        <v>0.75</v>
      </c>
      <c r="G1510" s="308"/>
      <c r="H1510" s="317">
        <v>0.9</v>
      </c>
      <c r="I1510" s="323">
        <f t="shared" si="61"/>
        <v>-1.35</v>
      </c>
      <c r="J1510" s="302"/>
      <c r="K1510" s="76"/>
      <c r="L1510" s="76"/>
      <c r="M1510" s="76"/>
      <c r="N1510" s="76"/>
      <c r="O1510" s="76"/>
      <c r="P1510" s="76"/>
      <c r="Q1510" s="76"/>
      <c r="R1510" s="76"/>
      <c r="S1510" s="76"/>
      <c r="T1510" s="76"/>
      <c r="U1510" s="76"/>
      <c r="V1510" s="76"/>
      <c r="W1510" s="76"/>
      <c r="X1510" s="76"/>
      <c r="Y1510" s="76"/>
      <c r="Z1510" s="76"/>
      <c r="AA1510" s="76"/>
      <c r="AB1510" s="76"/>
      <c r="AC1510" s="76"/>
      <c r="AD1510" s="76"/>
    </row>
    <row r="1511" spans="1:30" s="92" customFormat="1" ht="21" customHeight="1">
      <c r="A1511" s="307"/>
      <c r="B1511" s="302" t="s">
        <v>326</v>
      </c>
      <c r="C1511" s="307">
        <v>1</v>
      </c>
      <c r="D1511" s="307">
        <v>1</v>
      </c>
      <c r="E1511" s="307">
        <v>2</v>
      </c>
      <c r="F1511" s="308">
        <v>3.3</v>
      </c>
      <c r="G1511" s="308">
        <v>0.23</v>
      </c>
      <c r="H1511" s="317"/>
      <c r="I1511" s="323">
        <f t="shared" si="61"/>
        <v>1.52</v>
      </c>
      <c r="J1511" s="302"/>
      <c r="K1511" s="76"/>
      <c r="L1511" s="76"/>
      <c r="M1511" s="76"/>
      <c r="N1511" s="76">
        <f>0.75+0.9+0.75+0.9</f>
        <v>3.3</v>
      </c>
      <c r="O1511" s="76"/>
      <c r="P1511" s="76"/>
      <c r="Q1511" s="76"/>
      <c r="R1511" s="76"/>
      <c r="S1511" s="76"/>
      <c r="T1511" s="76"/>
      <c r="U1511" s="76"/>
      <c r="V1511" s="76"/>
      <c r="W1511" s="76"/>
      <c r="X1511" s="76"/>
      <c r="Y1511" s="76"/>
      <c r="Z1511" s="76"/>
      <c r="AA1511" s="76"/>
      <c r="AB1511" s="76"/>
      <c r="AC1511" s="76"/>
      <c r="AD1511" s="76"/>
    </row>
    <row r="1512" spans="1:30" s="92" customFormat="1" ht="21" customHeight="1">
      <c r="A1512" s="307"/>
      <c r="B1512" s="516" t="s">
        <v>328</v>
      </c>
      <c r="C1512" s="307">
        <v>1</v>
      </c>
      <c r="D1512" s="307">
        <v>1</v>
      </c>
      <c r="E1512" s="307">
        <v>2</v>
      </c>
      <c r="F1512" s="308">
        <v>5.67</v>
      </c>
      <c r="G1512" s="308"/>
      <c r="H1512" s="317">
        <v>3.05</v>
      </c>
      <c r="I1512" s="323">
        <f t="shared" si="61"/>
        <v>34.590000000000003</v>
      </c>
      <c r="J1512" s="302"/>
      <c r="K1512" s="76"/>
      <c r="L1512" s="76"/>
      <c r="M1512" s="76"/>
      <c r="N1512" s="76">
        <f>1.685+1.15+1.685+1.15</f>
        <v>5.67</v>
      </c>
      <c r="O1512" s="76"/>
      <c r="P1512" s="76"/>
      <c r="Q1512" s="76"/>
      <c r="R1512" s="76"/>
      <c r="S1512" s="76"/>
      <c r="T1512" s="76"/>
      <c r="U1512" s="76"/>
      <c r="V1512" s="76"/>
      <c r="W1512" s="76"/>
      <c r="X1512" s="76"/>
      <c r="Y1512" s="76"/>
      <c r="Z1512" s="76"/>
      <c r="AA1512" s="76"/>
      <c r="AB1512" s="76"/>
      <c r="AC1512" s="76"/>
      <c r="AD1512" s="76"/>
    </row>
    <row r="1513" spans="1:30" s="92" customFormat="1" ht="21" customHeight="1">
      <c r="A1513" s="307"/>
      <c r="B1513" s="516" t="s">
        <v>327</v>
      </c>
      <c r="C1513" s="307">
        <v>-1</v>
      </c>
      <c r="D1513" s="307">
        <v>1</v>
      </c>
      <c r="E1513" s="307">
        <v>2</v>
      </c>
      <c r="F1513" s="308">
        <v>0.75</v>
      </c>
      <c r="G1513" s="308"/>
      <c r="H1513" s="317">
        <v>0.9</v>
      </c>
      <c r="I1513" s="323">
        <f t="shared" si="61"/>
        <v>-1.35</v>
      </c>
      <c r="J1513" s="302"/>
      <c r="K1513" s="76"/>
      <c r="L1513" s="76"/>
      <c r="M1513" s="76"/>
      <c r="N1513" s="76"/>
      <c r="O1513" s="76"/>
      <c r="P1513" s="76"/>
      <c r="Q1513" s="76"/>
      <c r="R1513" s="76"/>
      <c r="S1513" s="76"/>
      <c r="T1513" s="76"/>
      <c r="U1513" s="76"/>
      <c r="V1513" s="76"/>
      <c r="W1513" s="76"/>
      <c r="X1513" s="76"/>
      <c r="Y1513" s="76"/>
      <c r="Z1513" s="76"/>
      <c r="AA1513" s="76"/>
      <c r="AB1513" s="76"/>
      <c r="AC1513" s="76"/>
      <c r="AD1513" s="76"/>
    </row>
    <row r="1514" spans="1:30" s="92" customFormat="1" ht="21" customHeight="1">
      <c r="A1514" s="307"/>
      <c r="B1514" s="302" t="s">
        <v>326</v>
      </c>
      <c r="C1514" s="307">
        <v>1</v>
      </c>
      <c r="D1514" s="307">
        <v>1</v>
      </c>
      <c r="E1514" s="307">
        <v>2</v>
      </c>
      <c r="F1514" s="308">
        <v>3.3</v>
      </c>
      <c r="G1514" s="308">
        <v>0.23</v>
      </c>
      <c r="H1514" s="317"/>
      <c r="I1514" s="323">
        <f t="shared" si="61"/>
        <v>1.52</v>
      </c>
      <c r="J1514" s="302"/>
      <c r="K1514" s="76"/>
      <c r="L1514" s="76"/>
      <c r="M1514" s="76"/>
      <c r="N1514" s="76">
        <f>0.75+0.9+0.75+0.9</f>
        <v>3.3</v>
      </c>
      <c r="O1514" s="76"/>
      <c r="P1514" s="76"/>
      <c r="Q1514" s="76"/>
      <c r="R1514" s="76"/>
      <c r="S1514" s="76"/>
      <c r="T1514" s="76"/>
      <c r="U1514" s="76"/>
      <c r="V1514" s="76"/>
      <c r="W1514" s="76"/>
      <c r="X1514" s="76"/>
      <c r="Y1514" s="76"/>
      <c r="Z1514" s="76"/>
      <c r="AA1514" s="76"/>
      <c r="AB1514" s="76"/>
      <c r="AC1514" s="76"/>
      <c r="AD1514" s="76"/>
    </row>
    <row r="1515" spans="1:30" s="5" customFormat="1" ht="23.25" customHeight="1">
      <c r="A1515" s="289"/>
      <c r="B1515" s="342"/>
      <c r="C1515" s="346"/>
      <c r="D1515" s="280"/>
      <c r="E1515" s="346"/>
      <c r="F1515" s="337"/>
      <c r="G1515" s="595" t="s">
        <v>41</v>
      </c>
      <c r="H1515" s="596"/>
      <c r="I1515" s="416">
        <f>SUM(I1401:I1514)</f>
        <v>3020.24</v>
      </c>
      <c r="J1515" s="284" t="s">
        <v>42</v>
      </c>
      <c r="K1515" s="43"/>
      <c r="L1515" s="43"/>
      <c r="M1515" s="43"/>
      <c r="N1515" s="7"/>
      <c r="O1515" s="7"/>
      <c r="P1515" s="7"/>
      <c r="Q1515" s="7"/>
      <c r="R1515" s="7"/>
      <c r="S1515" s="7"/>
      <c r="T1515" s="7"/>
      <c r="U1515" s="7"/>
      <c r="V1515" s="7"/>
      <c r="W1515" s="7"/>
      <c r="X1515" s="7"/>
      <c r="Y1515" s="7"/>
      <c r="Z1515" s="7"/>
      <c r="AA1515" s="7"/>
      <c r="AB1515" s="7"/>
      <c r="AC1515" s="7"/>
      <c r="AD1515" s="7"/>
    </row>
    <row r="1516" spans="1:30" s="5" customFormat="1" ht="23.25" customHeight="1">
      <c r="A1516" s="289"/>
      <c r="B1516" s="456" t="s">
        <v>86</v>
      </c>
      <c r="C1516" s="346"/>
      <c r="D1516" s="280"/>
      <c r="E1516" s="346"/>
      <c r="F1516" s="337"/>
      <c r="G1516" s="337"/>
      <c r="H1516" s="412"/>
      <c r="I1516" s="339"/>
      <c r="J1516" s="284"/>
      <c r="K1516" s="43"/>
      <c r="L1516" s="43"/>
      <c r="M1516" s="43"/>
      <c r="N1516" s="7"/>
      <c r="O1516" s="7"/>
      <c r="P1516" s="7"/>
      <c r="Q1516" s="7"/>
      <c r="R1516" s="7"/>
      <c r="S1516" s="7"/>
      <c r="T1516" s="7"/>
      <c r="U1516" s="7"/>
      <c r="V1516" s="7"/>
      <c r="W1516" s="7"/>
      <c r="X1516" s="7"/>
      <c r="Y1516" s="7"/>
      <c r="Z1516" s="7"/>
      <c r="AA1516" s="7"/>
      <c r="AB1516" s="7"/>
      <c r="AC1516" s="7"/>
      <c r="AD1516" s="7"/>
    </row>
    <row r="1517" spans="1:30" s="5" customFormat="1" ht="23.25" customHeight="1">
      <c r="A1517" s="289"/>
      <c r="B1517" s="342" t="s">
        <v>317</v>
      </c>
      <c r="C1517" s="346"/>
      <c r="D1517" s="280"/>
      <c r="E1517" s="346"/>
      <c r="F1517" s="337"/>
      <c r="G1517" s="337"/>
      <c r="H1517" s="412"/>
      <c r="I1517" s="339">
        <f>I1515</f>
        <v>3020.24</v>
      </c>
      <c r="J1517" s="287" t="s">
        <v>4</v>
      </c>
      <c r="K1517" s="42"/>
      <c r="L1517" s="42"/>
      <c r="M1517" s="42"/>
      <c r="N1517" s="7"/>
      <c r="O1517" s="7"/>
      <c r="P1517" s="7"/>
      <c r="Q1517" s="7"/>
      <c r="R1517" s="7"/>
      <c r="S1517" s="7"/>
      <c r="T1517" s="7"/>
      <c r="U1517" s="7"/>
      <c r="V1517" s="7"/>
      <c r="W1517" s="7"/>
      <c r="X1517" s="7"/>
      <c r="Y1517" s="7"/>
      <c r="Z1517" s="7"/>
      <c r="AA1517" s="7"/>
      <c r="AB1517" s="7"/>
      <c r="AC1517" s="7"/>
      <c r="AD1517" s="7"/>
    </row>
    <row r="1518" spans="1:30" s="5" customFormat="1" ht="23.25" customHeight="1">
      <c r="A1518" s="289"/>
      <c r="B1518" s="456" t="s">
        <v>98</v>
      </c>
      <c r="C1518" s="346"/>
      <c r="D1518" s="280"/>
      <c r="E1518" s="346"/>
      <c r="F1518" s="337"/>
      <c r="G1518" s="337"/>
      <c r="H1518" s="412"/>
      <c r="I1518" s="339"/>
      <c r="J1518" s="284"/>
      <c r="K1518" s="43"/>
      <c r="L1518" s="43"/>
      <c r="M1518" s="43"/>
      <c r="N1518" s="7"/>
      <c r="O1518" s="7"/>
      <c r="P1518" s="7"/>
      <c r="Q1518" s="7"/>
      <c r="R1518" s="7"/>
      <c r="S1518" s="7"/>
      <c r="T1518" s="7"/>
      <c r="U1518" s="7"/>
      <c r="V1518" s="7"/>
      <c r="W1518" s="7"/>
      <c r="X1518" s="7"/>
      <c r="Y1518" s="7"/>
      <c r="Z1518" s="7"/>
      <c r="AA1518" s="7"/>
      <c r="AB1518" s="7"/>
      <c r="AC1518" s="7"/>
      <c r="AD1518" s="7"/>
    </row>
    <row r="1519" spans="1:30" s="5" customFormat="1" ht="23.25" customHeight="1">
      <c r="A1519" s="289"/>
      <c r="B1519" s="342" t="s">
        <v>317</v>
      </c>
      <c r="C1519" s="346"/>
      <c r="D1519" s="280"/>
      <c r="E1519" s="346"/>
      <c r="F1519" s="337"/>
      <c r="G1519" s="337"/>
      <c r="H1519" s="412"/>
      <c r="I1519" s="339">
        <f>I1517</f>
        <v>3020.24</v>
      </c>
      <c r="J1519" s="287" t="s">
        <v>4</v>
      </c>
      <c r="K1519" s="42"/>
      <c r="L1519" s="42"/>
      <c r="M1519" s="42"/>
      <c r="N1519" s="7"/>
      <c r="O1519" s="7"/>
      <c r="P1519" s="7"/>
      <c r="Q1519" s="7"/>
      <c r="R1519" s="7"/>
      <c r="S1519" s="7"/>
      <c r="T1519" s="7"/>
      <c r="U1519" s="7"/>
      <c r="V1519" s="7"/>
      <c r="W1519" s="7"/>
      <c r="X1519" s="7"/>
      <c r="Y1519" s="7"/>
      <c r="Z1519" s="7"/>
      <c r="AA1519" s="7"/>
      <c r="AB1519" s="7"/>
      <c r="AC1519" s="7"/>
      <c r="AD1519" s="7"/>
    </row>
    <row r="1520" spans="1:30" s="5" customFormat="1" ht="23.25" customHeight="1">
      <c r="A1520" s="289"/>
      <c r="B1520" s="456" t="s">
        <v>325</v>
      </c>
      <c r="C1520" s="346"/>
      <c r="D1520" s="280"/>
      <c r="E1520" s="346"/>
      <c r="F1520" s="337"/>
      <c r="G1520" s="337"/>
      <c r="H1520" s="412"/>
      <c r="I1520" s="339"/>
      <c r="J1520" s="284"/>
      <c r="K1520" s="43"/>
      <c r="L1520" s="43"/>
      <c r="M1520" s="43"/>
      <c r="N1520" s="7"/>
      <c r="O1520" s="7"/>
      <c r="P1520" s="7"/>
      <c r="Q1520" s="7"/>
      <c r="R1520" s="7"/>
      <c r="S1520" s="7"/>
      <c r="T1520" s="7"/>
      <c r="U1520" s="7"/>
      <c r="V1520" s="7"/>
      <c r="W1520" s="7"/>
      <c r="X1520" s="7"/>
      <c r="Y1520" s="7"/>
      <c r="Z1520" s="7"/>
      <c r="AA1520" s="7"/>
      <c r="AB1520" s="7"/>
      <c r="AC1520" s="7"/>
      <c r="AD1520" s="7"/>
    </row>
    <row r="1521" spans="1:30" s="5" customFormat="1" ht="23.25" customHeight="1">
      <c r="A1521" s="289"/>
      <c r="B1521" s="342" t="s">
        <v>317</v>
      </c>
      <c r="C1521" s="346"/>
      <c r="D1521" s="280"/>
      <c r="E1521" s="346"/>
      <c r="F1521" s="337"/>
      <c r="G1521" s="337"/>
      <c r="H1521" s="412"/>
      <c r="I1521" s="339">
        <f>I1519</f>
        <v>3020.24</v>
      </c>
      <c r="J1521" s="287" t="s">
        <v>4</v>
      </c>
      <c r="K1521" s="42"/>
      <c r="L1521" s="42"/>
      <c r="M1521" s="42"/>
      <c r="N1521" s="7"/>
      <c r="O1521" s="7"/>
      <c r="P1521" s="7"/>
      <c r="Q1521" s="7"/>
      <c r="R1521" s="7"/>
      <c r="S1521" s="7"/>
      <c r="T1521" s="7"/>
      <c r="U1521" s="7"/>
      <c r="V1521" s="7"/>
      <c r="W1521" s="7"/>
      <c r="X1521" s="7"/>
      <c r="Y1521" s="7"/>
      <c r="Z1521" s="7"/>
      <c r="AA1521" s="7"/>
      <c r="AB1521" s="7"/>
      <c r="AC1521" s="7"/>
      <c r="AD1521" s="7"/>
    </row>
    <row r="1522" spans="1:30" s="5" customFormat="1" ht="23.25" customHeight="1">
      <c r="A1522" s="289"/>
      <c r="B1522" s="456" t="s">
        <v>324</v>
      </c>
      <c r="C1522" s="346"/>
      <c r="D1522" s="280"/>
      <c r="E1522" s="346"/>
      <c r="F1522" s="337"/>
      <c r="G1522" s="337"/>
      <c r="H1522" s="412"/>
      <c r="I1522" s="339"/>
      <c r="J1522" s="284"/>
      <c r="K1522" s="43"/>
      <c r="L1522" s="43"/>
      <c r="M1522" s="43"/>
      <c r="N1522" s="7"/>
      <c r="O1522" s="7"/>
      <c r="P1522" s="7"/>
      <c r="Q1522" s="7"/>
      <c r="R1522" s="7"/>
      <c r="S1522" s="7"/>
      <c r="T1522" s="7"/>
      <c r="U1522" s="7"/>
      <c r="V1522" s="7"/>
      <c r="W1522" s="7"/>
      <c r="X1522" s="7"/>
      <c r="Y1522" s="7"/>
      <c r="Z1522" s="7"/>
      <c r="AA1522" s="7"/>
      <c r="AB1522" s="7"/>
      <c r="AC1522" s="7"/>
      <c r="AD1522" s="7"/>
    </row>
    <row r="1523" spans="1:30" s="5" customFormat="1" ht="23.25" customHeight="1">
      <c r="A1523" s="289"/>
      <c r="B1523" s="342" t="s">
        <v>317</v>
      </c>
      <c r="C1523" s="346"/>
      <c r="D1523" s="280"/>
      <c r="E1523" s="346"/>
      <c r="F1523" s="337"/>
      <c r="G1523" s="337"/>
      <c r="H1523" s="412"/>
      <c r="I1523" s="339">
        <f>I1521</f>
        <v>3020.24</v>
      </c>
      <c r="J1523" s="287" t="s">
        <v>4</v>
      </c>
      <c r="K1523" s="42"/>
      <c r="L1523" s="42"/>
      <c r="M1523" s="42"/>
      <c r="N1523" s="7"/>
      <c r="O1523" s="7"/>
      <c r="P1523" s="7"/>
      <c r="Q1523" s="7"/>
      <c r="R1523" s="7"/>
      <c r="S1523" s="7"/>
      <c r="T1523" s="7"/>
      <c r="U1523" s="7"/>
      <c r="V1523" s="7"/>
      <c r="W1523" s="7"/>
      <c r="X1523" s="7"/>
      <c r="Y1523" s="7"/>
      <c r="Z1523" s="7"/>
      <c r="AA1523" s="7"/>
      <c r="AB1523" s="7"/>
      <c r="AC1523" s="7"/>
      <c r="AD1523" s="7"/>
    </row>
    <row r="1524" spans="1:30" s="5" customFormat="1" ht="23.25" customHeight="1">
      <c r="A1524" s="289"/>
      <c r="B1524" s="456" t="s">
        <v>323</v>
      </c>
      <c r="C1524" s="346"/>
      <c r="D1524" s="280"/>
      <c r="E1524" s="346"/>
      <c r="F1524" s="337"/>
      <c r="G1524" s="337"/>
      <c r="H1524" s="412"/>
      <c r="I1524" s="339"/>
      <c r="J1524" s="284"/>
      <c r="K1524" s="43"/>
      <c r="L1524" s="43"/>
      <c r="M1524" s="43"/>
      <c r="N1524" s="7"/>
      <c r="O1524" s="7"/>
      <c r="P1524" s="7"/>
      <c r="Q1524" s="7"/>
      <c r="R1524" s="7"/>
      <c r="S1524" s="7"/>
      <c r="T1524" s="7"/>
      <c r="U1524" s="7"/>
      <c r="V1524" s="7"/>
      <c r="W1524" s="7"/>
      <c r="X1524" s="7"/>
      <c r="Y1524" s="7"/>
      <c r="Z1524" s="7"/>
      <c r="AA1524" s="7"/>
      <c r="AB1524" s="7"/>
      <c r="AC1524" s="7"/>
      <c r="AD1524" s="7"/>
    </row>
    <row r="1525" spans="1:30" s="5" customFormat="1" ht="23.25" customHeight="1">
      <c r="A1525" s="289"/>
      <c r="B1525" s="342" t="s">
        <v>317</v>
      </c>
      <c r="C1525" s="346"/>
      <c r="D1525" s="280"/>
      <c r="E1525" s="346"/>
      <c r="F1525" s="337"/>
      <c r="G1525" s="337"/>
      <c r="H1525" s="412"/>
      <c r="I1525" s="339">
        <f>I1523</f>
        <v>3020.24</v>
      </c>
      <c r="J1525" s="287" t="s">
        <v>4</v>
      </c>
      <c r="K1525" s="42"/>
      <c r="L1525" s="42"/>
      <c r="M1525" s="42"/>
      <c r="N1525" s="7"/>
      <c r="O1525" s="7"/>
      <c r="P1525" s="7"/>
      <c r="Q1525" s="7"/>
      <c r="R1525" s="7"/>
      <c r="S1525" s="7"/>
      <c r="T1525" s="7"/>
      <c r="U1525" s="7"/>
      <c r="V1525" s="7"/>
      <c r="W1525" s="7"/>
      <c r="X1525" s="7"/>
      <c r="Y1525" s="7"/>
      <c r="Z1525" s="7"/>
      <c r="AA1525" s="7"/>
      <c r="AB1525" s="7"/>
      <c r="AC1525" s="7"/>
      <c r="AD1525" s="7"/>
    </row>
    <row r="1526" spans="1:30" s="5" customFormat="1" ht="23.25" customHeight="1">
      <c r="A1526" s="289"/>
      <c r="B1526" s="456" t="s">
        <v>322</v>
      </c>
      <c r="C1526" s="346"/>
      <c r="D1526" s="280"/>
      <c r="E1526" s="346"/>
      <c r="F1526" s="337"/>
      <c r="G1526" s="337"/>
      <c r="H1526" s="412"/>
      <c r="I1526" s="339"/>
      <c r="J1526" s="284"/>
      <c r="K1526" s="43"/>
      <c r="L1526" s="43"/>
      <c r="M1526" s="43"/>
      <c r="N1526" s="7"/>
      <c r="O1526" s="7"/>
      <c r="P1526" s="7"/>
      <c r="Q1526" s="7"/>
      <c r="R1526" s="7"/>
      <c r="S1526" s="7"/>
      <c r="T1526" s="7"/>
      <c r="U1526" s="7"/>
      <c r="V1526" s="7"/>
      <c r="W1526" s="7"/>
      <c r="X1526" s="7"/>
      <c r="Y1526" s="7"/>
      <c r="Z1526" s="7"/>
      <c r="AA1526" s="7"/>
      <c r="AB1526" s="7"/>
      <c r="AC1526" s="7"/>
      <c r="AD1526" s="7"/>
    </row>
    <row r="1527" spans="1:30" s="5" customFormat="1" ht="23.25" customHeight="1">
      <c r="A1527" s="289"/>
      <c r="B1527" s="342" t="s">
        <v>317</v>
      </c>
      <c r="C1527" s="346"/>
      <c r="D1527" s="280"/>
      <c r="E1527" s="346"/>
      <c r="F1527" s="337"/>
      <c r="G1527" s="337"/>
      <c r="H1527" s="412"/>
      <c r="I1527" s="339">
        <f>I1525</f>
        <v>3020.24</v>
      </c>
      <c r="J1527" s="287" t="s">
        <v>4</v>
      </c>
      <c r="K1527" s="42"/>
      <c r="L1527" s="42"/>
      <c r="M1527" s="42"/>
      <c r="N1527" s="7"/>
      <c r="O1527" s="7"/>
      <c r="P1527" s="7"/>
      <c r="Q1527" s="7"/>
      <c r="R1527" s="7"/>
      <c r="S1527" s="7"/>
      <c r="T1527" s="7"/>
      <c r="U1527" s="7"/>
      <c r="V1527" s="7"/>
      <c r="W1527" s="7"/>
      <c r="X1527" s="7"/>
      <c r="Y1527" s="7"/>
      <c r="Z1527" s="7"/>
      <c r="AA1527" s="7"/>
      <c r="AB1527" s="7"/>
      <c r="AC1527" s="7"/>
      <c r="AD1527" s="7"/>
    </row>
    <row r="1528" spans="1:30" s="5" customFormat="1" ht="23.25" customHeight="1">
      <c r="A1528" s="289"/>
      <c r="B1528" s="456" t="s">
        <v>321</v>
      </c>
      <c r="C1528" s="346"/>
      <c r="D1528" s="280"/>
      <c r="E1528" s="346"/>
      <c r="F1528" s="337"/>
      <c r="G1528" s="337"/>
      <c r="H1528" s="412"/>
      <c r="I1528" s="339"/>
      <c r="J1528" s="284"/>
      <c r="K1528" s="43"/>
      <c r="L1528" s="43"/>
      <c r="M1528" s="43"/>
      <c r="N1528" s="7"/>
      <c r="O1528" s="7"/>
      <c r="P1528" s="7"/>
      <c r="Q1528" s="7"/>
      <c r="R1528" s="7"/>
      <c r="S1528" s="7"/>
      <c r="T1528" s="7"/>
      <c r="U1528" s="7"/>
      <c r="V1528" s="7"/>
      <c r="W1528" s="7"/>
      <c r="X1528" s="7"/>
      <c r="Y1528" s="7"/>
      <c r="Z1528" s="7"/>
      <c r="AA1528" s="7"/>
      <c r="AB1528" s="7"/>
      <c r="AC1528" s="7"/>
      <c r="AD1528" s="7"/>
    </row>
    <row r="1529" spans="1:30" s="5" customFormat="1" ht="23.25" customHeight="1">
      <c r="A1529" s="289"/>
      <c r="B1529" s="342" t="s">
        <v>317</v>
      </c>
      <c r="C1529" s="346"/>
      <c r="D1529" s="280"/>
      <c r="E1529" s="346"/>
      <c r="F1529" s="337"/>
      <c r="G1529" s="337"/>
      <c r="H1529" s="412"/>
      <c r="I1529" s="339">
        <f>I1527</f>
        <v>3020.24</v>
      </c>
      <c r="J1529" s="287" t="s">
        <v>4</v>
      </c>
      <c r="K1529" s="42"/>
      <c r="L1529" s="42"/>
      <c r="M1529" s="42"/>
      <c r="N1529" s="7"/>
      <c r="O1529" s="7"/>
      <c r="P1529" s="7"/>
      <c r="Q1529" s="7"/>
      <c r="R1529" s="7"/>
      <c r="S1529" s="7"/>
      <c r="T1529" s="7"/>
      <c r="U1529" s="7"/>
      <c r="V1529" s="7"/>
      <c r="W1529" s="7"/>
      <c r="X1529" s="7"/>
      <c r="Y1529" s="7"/>
      <c r="Z1529" s="7"/>
      <c r="AA1529" s="7"/>
      <c r="AB1529" s="7"/>
      <c r="AC1529" s="7"/>
      <c r="AD1529" s="7"/>
    </row>
    <row r="1530" spans="1:30" s="5" customFormat="1" ht="23.25" customHeight="1">
      <c r="A1530" s="289"/>
      <c r="B1530" s="456" t="s">
        <v>320</v>
      </c>
      <c r="C1530" s="346"/>
      <c r="D1530" s="280"/>
      <c r="E1530" s="346"/>
      <c r="F1530" s="337"/>
      <c r="G1530" s="337"/>
      <c r="H1530" s="412"/>
      <c r="I1530" s="339"/>
      <c r="J1530" s="284"/>
      <c r="K1530" s="43"/>
      <c r="L1530" s="43"/>
      <c r="M1530" s="43"/>
      <c r="N1530" s="7"/>
      <c r="O1530" s="7"/>
      <c r="P1530" s="7"/>
      <c r="Q1530" s="7"/>
      <c r="R1530" s="7"/>
      <c r="S1530" s="7"/>
      <c r="T1530" s="7"/>
      <c r="U1530" s="7"/>
      <c r="V1530" s="7"/>
      <c r="W1530" s="7"/>
      <c r="X1530" s="7"/>
      <c r="Y1530" s="7"/>
      <c r="Z1530" s="7"/>
      <c r="AA1530" s="7"/>
      <c r="AB1530" s="7"/>
      <c r="AC1530" s="7"/>
      <c r="AD1530" s="7"/>
    </row>
    <row r="1531" spans="1:30" s="5" customFormat="1" ht="23.25" customHeight="1">
      <c r="A1531" s="289"/>
      <c r="B1531" s="342" t="s">
        <v>317</v>
      </c>
      <c r="C1531" s="346"/>
      <c r="D1531" s="280"/>
      <c r="E1531" s="346"/>
      <c r="F1531" s="337"/>
      <c r="G1531" s="337"/>
      <c r="H1531" s="412"/>
      <c r="I1531" s="339">
        <f>I1529</f>
        <v>3020.24</v>
      </c>
      <c r="J1531" s="287" t="s">
        <v>4</v>
      </c>
      <c r="K1531" s="42"/>
      <c r="L1531" s="42"/>
      <c r="M1531" s="42"/>
      <c r="N1531" s="7"/>
      <c r="O1531" s="7"/>
      <c r="P1531" s="7"/>
      <c r="Q1531" s="7"/>
      <c r="R1531" s="7"/>
      <c r="S1531" s="7"/>
      <c r="T1531" s="7"/>
      <c r="U1531" s="7"/>
      <c r="V1531" s="7"/>
      <c r="W1531" s="7"/>
      <c r="X1531" s="7"/>
      <c r="Y1531" s="7"/>
      <c r="Z1531" s="7"/>
      <c r="AA1531" s="7"/>
      <c r="AB1531" s="7"/>
      <c r="AC1531" s="7"/>
      <c r="AD1531" s="7"/>
    </row>
    <row r="1532" spans="1:30" s="5" customFormat="1" ht="23.25" customHeight="1">
      <c r="A1532" s="289"/>
      <c r="B1532" s="456" t="s">
        <v>319</v>
      </c>
      <c r="C1532" s="346"/>
      <c r="D1532" s="280"/>
      <c r="E1532" s="346"/>
      <c r="F1532" s="337"/>
      <c r="G1532" s="337"/>
      <c r="H1532" s="412"/>
      <c r="I1532" s="339"/>
      <c r="J1532" s="284"/>
      <c r="K1532" s="43"/>
      <c r="L1532" s="43"/>
      <c r="M1532" s="43"/>
      <c r="N1532" s="7"/>
      <c r="O1532" s="7"/>
      <c r="P1532" s="7"/>
      <c r="Q1532" s="7"/>
      <c r="R1532" s="7"/>
      <c r="S1532" s="7"/>
      <c r="T1532" s="7"/>
      <c r="U1532" s="7"/>
      <c r="V1532" s="7"/>
      <c r="W1532" s="7"/>
      <c r="X1532" s="7"/>
      <c r="Y1532" s="7"/>
      <c r="Z1532" s="7"/>
      <c r="AA1532" s="7"/>
      <c r="AB1532" s="7"/>
      <c r="AC1532" s="7"/>
      <c r="AD1532" s="7"/>
    </row>
    <row r="1533" spans="1:30" s="5" customFormat="1" ht="23.25" customHeight="1">
      <c r="A1533" s="289"/>
      <c r="B1533" s="342" t="s">
        <v>317</v>
      </c>
      <c r="C1533" s="346"/>
      <c r="D1533" s="280"/>
      <c r="E1533" s="346"/>
      <c r="F1533" s="337"/>
      <c r="G1533" s="337"/>
      <c r="H1533" s="412"/>
      <c r="I1533" s="339">
        <f>I1531</f>
        <v>3020.24</v>
      </c>
      <c r="J1533" s="287" t="s">
        <v>4</v>
      </c>
      <c r="K1533" s="42"/>
      <c r="L1533" s="42"/>
      <c r="M1533" s="42"/>
      <c r="N1533" s="7"/>
      <c r="O1533" s="7"/>
      <c r="P1533" s="7"/>
      <c r="Q1533" s="7"/>
      <c r="R1533" s="7"/>
      <c r="S1533" s="7"/>
      <c r="T1533" s="7"/>
      <c r="U1533" s="7"/>
      <c r="V1533" s="7"/>
      <c r="W1533" s="7"/>
      <c r="X1533" s="7"/>
      <c r="Y1533" s="7"/>
      <c r="Z1533" s="7"/>
      <c r="AA1533" s="7"/>
      <c r="AB1533" s="7"/>
      <c r="AC1533" s="7"/>
      <c r="AD1533" s="7"/>
    </row>
    <row r="1534" spans="1:30" s="5" customFormat="1" ht="23.25" customHeight="1">
      <c r="A1534" s="289"/>
      <c r="B1534" s="456" t="s">
        <v>318</v>
      </c>
      <c r="C1534" s="346"/>
      <c r="D1534" s="280"/>
      <c r="E1534" s="346"/>
      <c r="F1534" s="337"/>
      <c r="G1534" s="337"/>
      <c r="H1534" s="412"/>
      <c r="I1534" s="339"/>
      <c r="J1534" s="284"/>
      <c r="K1534" s="43"/>
      <c r="L1534" s="43"/>
      <c r="M1534" s="43"/>
      <c r="N1534" s="7"/>
      <c r="O1534" s="7"/>
      <c r="P1534" s="7"/>
      <c r="Q1534" s="7"/>
      <c r="R1534" s="7"/>
      <c r="S1534" s="7"/>
      <c r="T1534" s="7"/>
      <c r="U1534" s="7"/>
      <c r="V1534" s="7"/>
      <c r="W1534" s="7"/>
      <c r="X1534" s="7"/>
      <c r="Y1534" s="7"/>
      <c r="Z1534" s="7"/>
      <c r="AA1534" s="7"/>
      <c r="AB1534" s="7"/>
      <c r="AC1534" s="7"/>
      <c r="AD1534" s="7"/>
    </row>
    <row r="1535" spans="1:30" s="64" customFormat="1" ht="21.75" customHeight="1">
      <c r="A1535" s="307"/>
      <c r="B1535" s="293" t="s">
        <v>316</v>
      </c>
      <c r="C1535" s="307">
        <v>1</v>
      </c>
      <c r="D1535" s="307">
        <v>1</v>
      </c>
      <c r="E1535" s="307">
        <v>3</v>
      </c>
      <c r="F1535" s="307">
        <v>19.02</v>
      </c>
      <c r="G1535" s="307"/>
      <c r="H1535" s="307">
        <v>2.9249999999999998</v>
      </c>
      <c r="I1535" s="323">
        <f t="shared" ref="I1535:I1541" si="62">PRODUCT(C1535:H1535)</f>
        <v>166.9</v>
      </c>
      <c r="J1535" s="322"/>
      <c r="K1535" s="65"/>
      <c r="L1535" s="65"/>
      <c r="M1535" s="65"/>
      <c r="N1535" s="65">
        <f>5.55+2.85+5.55+2.372+0.936+1.763</f>
        <v>19.021000000000001</v>
      </c>
      <c r="O1535" s="65">
        <f>2.85-0.125</f>
        <v>2.7250000000000001</v>
      </c>
      <c r="P1535" s="65"/>
      <c r="Q1535" s="65"/>
      <c r="R1535" s="65"/>
      <c r="S1535" s="65"/>
      <c r="T1535" s="65"/>
      <c r="U1535" s="65"/>
      <c r="V1535" s="65"/>
      <c r="W1535" s="65"/>
      <c r="X1535" s="65"/>
      <c r="Y1535" s="65"/>
      <c r="Z1535" s="65"/>
      <c r="AA1535" s="65"/>
      <c r="AB1535" s="65"/>
      <c r="AC1535" s="65"/>
      <c r="AD1535" s="65"/>
    </row>
    <row r="1536" spans="1:30" s="64" customFormat="1" ht="21.75" customHeight="1">
      <c r="A1536" s="307"/>
      <c r="B1536" s="293" t="s">
        <v>315</v>
      </c>
      <c r="C1536" s="307">
        <v>-1</v>
      </c>
      <c r="D1536" s="307">
        <v>1</v>
      </c>
      <c r="E1536" s="307">
        <v>3</v>
      </c>
      <c r="F1536" s="308">
        <v>1.5</v>
      </c>
      <c r="G1536" s="308"/>
      <c r="H1536" s="308">
        <v>2.1</v>
      </c>
      <c r="I1536" s="323">
        <f t="shared" si="62"/>
        <v>-9.4499999999999993</v>
      </c>
      <c r="J1536" s="322"/>
      <c r="K1536" s="65"/>
      <c r="L1536" s="65"/>
      <c r="M1536" s="65"/>
      <c r="N1536" s="65"/>
      <c r="O1536" s="65"/>
      <c r="P1536" s="65"/>
      <c r="Q1536" s="65"/>
      <c r="R1536" s="65"/>
      <c r="S1536" s="65"/>
      <c r="T1536" s="65"/>
      <c r="U1536" s="65"/>
      <c r="V1536" s="65"/>
      <c r="W1536" s="65"/>
      <c r="X1536" s="65"/>
      <c r="Y1536" s="65"/>
      <c r="Z1536" s="65"/>
      <c r="AA1536" s="65"/>
      <c r="AB1536" s="65"/>
      <c r="AC1536" s="65"/>
      <c r="AD1536" s="65"/>
    </row>
    <row r="1537" spans="1:30" s="64" customFormat="1" ht="21.75" customHeight="1">
      <c r="A1537" s="307"/>
      <c r="B1537" s="293" t="s">
        <v>314</v>
      </c>
      <c r="C1537" s="307">
        <v>1</v>
      </c>
      <c r="D1537" s="307">
        <v>1</v>
      </c>
      <c r="E1537" s="307">
        <v>3</v>
      </c>
      <c r="F1537" s="308">
        <f>1.5+2.1+2.1</f>
        <v>5.7</v>
      </c>
      <c r="G1537" s="307">
        <v>0.23</v>
      </c>
      <c r="H1537" s="307"/>
      <c r="I1537" s="323">
        <f t="shared" si="62"/>
        <v>3.93</v>
      </c>
      <c r="J1537" s="322"/>
      <c r="K1537" s="65"/>
      <c r="L1537" s="65"/>
      <c r="M1537" s="65"/>
      <c r="N1537" s="65"/>
      <c r="O1537" s="65"/>
      <c r="P1537" s="65"/>
      <c r="Q1537" s="65"/>
      <c r="R1537" s="65"/>
      <c r="S1537" s="65"/>
      <c r="T1537" s="65"/>
      <c r="U1537" s="65"/>
      <c r="V1537" s="65"/>
      <c r="W1537" s="65"/>
      <c r="X1537" s="65"/>
      <c r="Y1537" s="65"/>
      <c r="Z1537" s="65"/>
      <c r="AA1537" s="65"/>
      <c r="AB1537" s="65"/>
      <c r="AC1537" s="65"/>
      <c r="AD1537" s="65"/>
    </row>
    <row r="1538" spans="1:30" s="64" customFormat="1" ht="21.75" customHeight="1">
      <c r="A1538" s="307"/>
      <c r="B1538" s="293" t="s">
        <v>232</v>
      </c>
      <c r="C1538" s="307">
        <v>-1</v>
      </c>
      <c r="D1538" s="307">
        <v>1</v>
      </c>
      <c r="E1538" s="307">
        <v>3</v>
      </c>
      <c r="F1538" s="308">
        <v>1.8</v>
      </c>
      <c r="G1538" s="307"/>
      <c r="H1538" s="307">
        <v>1.35</v>
      </c>
      <c r="I1538" s="323">
        <f t="shared" si="62"/>
        <v>-7.29</v>
      </c>
      <c r="J1538" s="322"/>
      <c r="K1538" s="65"/>
      <c r="L1538" s="65"/>
      <c r="M1538" s="65"/>
      <c r="N1538" s="65"/>
      <c r="O1538" s="65"/>
      <c r="P1538" s="65"/>
      <c r="Q1538" s="65"/>
      <c r="R1538" s="65"/>
      <c r="S1538" s="65"/>
      <c r="T1538" s="65"/>
      <c r="U1538" s="65"/>
      <c r="V1538" s="65"/>
      <c r="W1538" s="65"/>
      <c r="X1538" s="65"/>
      <c r="Y1538" s="65"/>
      <c r="Z1538" s="65"/>
      <c r="AA1538" s="65"/>
      <c r="AB1538" s="65"/>
      <c r="AC1538" s="65"/>
      <c r="AD1538" s="65"/>
    </row>
    <row r="1539" spans="1:30" s="64" customFormat="1" ht="21.75" customHeight="1">
      <c r="A1539" s="307"/>
      <c r="B1539" s="293" t="s">
        <v>313</v>
      </c>
      <c r="C1539" s="307">
        <v>1</v>
      </c>
      <c r="D1539" s="307">
        <v>1</v>
      </c>
      <c r="E1539" s="307">
        <v>3</v>
      </c>
      <c r="F1539" s="308">
        <f>1.8+1.35+1.8+1.35</f>
        <v>6.3</v>
      </c>
      <c r="G1539" s="307">
        <v>0.23</v>
      </c>
      <c r="H1539" s="307"/>
      <c r="I1539" s="323">
        <f t="shared" si="62"/>
        <v>4.3499999999999996</v>
      </c>
      <c r="J1539" s="322"/>
      <c r="K1539" s="65"/>
      <c r="L1539" s="65"/>
      <c r="M1539" s="65"/>
      <c r="N1539" s="65"/>
      <c r="O1539" s="65"/>
      <c r="P1539" s="65"/>
      <c r="Q1539" s="65"/>
      <c r="R1539" s="65"/>
      <c r="S1539" s="65"/>
      <c r="T1539" s="65"/>
      <c r="U1539" s="65"/>
      <c r="V1539" s="65"/>
      <c r="W1539" s="65"/>
      <c r="X1539" s="65"/>
      <c r="Y1539" s="65"/>
      <c r="Z1539" s="65"/>
      <c r="AA1539" s="65"/>
      <c r="AB1539" s="65"/>
      <c r="AC1539" s="65"/>
      <c r="AD1539" s="65"/>
    </row>
    <row r="1540" spans="1:30" s="64" customFormat="1" ht="21.75" customHeight="1">
      <c r="A1540" s="321"/>
      <c r="B1540" s="293" t="s">
        <v>231</v>
      </c>
      <c r="C1540" s="307">
        <v>-1</v>
      </c>
      <c r="D1540" s="307">
        <v>2</v>
      </c>
      <c r="E1540" s="307">
        <v>3</v>
      </c>
      <c r="F1540" s="308">
        <v>1.2</v>
      </c>
      <c r="G1540" s="307"/>
      <c r="H1540" s="307">
        <v>1.35</v>
      </c>
      <c r="I1540" s="323">
        <f t="shared" si="62"/>
        <v>-9.7200000000000006</v>
      </c>
      <c r="J1540" s="322"/>
      <c r="K1540" s="65"/>
      <c r="L1540" s="65"/>
      <c r="M1540" s="65"/>
      <c r="N1540" s="65"/>
      <c r="O1540" s="65"/>
      <c r="P1540" s="65"/>
      <c r="Q1540" s="65"/>
      <c r="R1540" s="65"/>
      <c r="S1540" s="65"/>
      <c r="T1540" s="65"/>
      <c r="U1540" s="65"/>
      <c r="V1540" s="65"/>
      <c r="W1540" s="65"/>
      <c r="X1540" s="65"/>
      <c r="Y1540" s="65"/>
      <c r="Z1540" s="65"/>
      <c r="AA1540" s="65"/>
      <c r="AB1540" s="65"/>
      <c r="AC1540" s="65"/>
      <c r="AD1540" s="65"/>
    </row>
    <row r="1541" spans="1:30" s="64" customFormat="1" ht="21.75" customHeight="1">
      <c r="A1541" s="321"/>
      <c r="B1541" s="293" t="s">
        <v>312</v>
      </c>
      <c r="C1541" s="307">
        <v>1</v>
      </c>
      <c r="D1541" s="307">
        <v>2</v>
      </c>
      <c r="E1541" s="307">
        <v>3</v>
      </c>
      <c r="F1541" s="308">
        <f>1.2+1.35+1.2+1.35</f>
        <v>5.0999999999999996</v>
      </c>
      <c r="G1541" s="307">
        <v>0.23</v>
      </c>
      <c r="H1541" s="307"/>
      <c r="I1541" s="323">
        <f t="shared" si="62"/>
        <v>7.04</v>
      </c>
      <c r="J1541" s="322"/>
      <c r="K1541" s="65"/>
      <c r="L1541" s="65"/>
      <c r="M1541" s="65"/>
      <c r="N1541" s="65"/>
      <c r="O1541" s="65"/>
      <c r="P1541" s="65"/>
      <c r="Q1541" s="65"/>
      <c r="R1541" s="65"/>
      <c r="S1541" s="65"/>
      <c r="T1541" s="65"/>
      <c r="U1541" s="65"/>
      <c r="V1541" s="65"/>
      <c r="W1541" s="65"/>
      <c r="X1541" s="65"/>
      <c r="Y1541" s="65"/>
      <c r="Z1541" s="65"/>
      <c r="AA1541" s="65"/>
      <c r="AB1541" s="65"/>
      <c r="AC1541" s="65"/>
      <c r="AD1541" s="65"/>
    </row>
    <row r="1542" spans="1:30" s="5" customFormat="1" ht="23.25" customHeight="1">
      <c r="A1542" s="289"/>
      <c r="B1542" s="319" t="s">
        <v>617</v>
      </c>
      <c r="C1542" s="346"/>
      <c r="D1542" s="280"/>
      <c r="E1542" s="346"/>
      <c r="F1542" s="337"/>
      <c r="G1542" s="337"/>
      <c r="H1542" s="412"/>
      <c r="I1542" s="339"/>
      <c r="J1542" s="284"/>
      <c r="K1542" s="43"/>
      <c r="L1542" s="43"/>
      <c r="M1542" s="43"/>
      <c r="N1542" s="7"/>
      <c r="O1542" s="7"/>
      <c r="P1542" s="7"/>
      <c r="Q1542" s="7"/>
      <c r="R1542" s="7"/>
      <c r="S1542" s="7"/>
      <c r="T1542" s="7"/>
      <c r="U1542" s="7"/>
      <c r="V1542" s="7"/>
      <c r="W1542" s="7"/>
      <c r="X1542" s="7"/>
      <c r="Y1542" s="7"/>
      <c r="Z1542" s="7"/>
      <c r="AA1542" s="7"/>
      <c r="AB1542" s="7"/>
      <c r="AC1542" s="7"/>
      <c r="AD1542" s="7"/>
    </row>
    <row r="1543" spans="1:30" s="33" customFormat="1" ht="18.75" customHeight="1">
      <c r="A1543" s="289"/>
      <c r="B1543" s="319" t="s">
        <v>616</v>
      </c>
      <c r="C1543" s="346"/>
      <c r="D1543" s="280"/>
      <c r="E1543" s="346"/>
      <c r="F1543" s="337"/>
      <c r="G1543" s="337"/>
      <c r="H1543" s="412"/>
      <c r="I1543" s="339"/>
      <c r="J1543" s="284"/>
      <c r="K1543" s="43"/>
      <c r="L1543" s="43"/>
      <c r="M1543" s="43"/>
      <c r="N1543" s="34"/>
      <c r="O1543" s="34"/>
      <c r="P1543" s="34"/>
      <c r="Q1543" s="34"/>
      <c r="R1543" s="34"/>
      <c r="S1543" s="34"/>
      <c r="T1543" s="34"/>
      <c r="U1543" s="34"/>
      <c r="V1543" s="34"/>
      <c r="W1543" s="34"/>
      <c r="X1543" s="34"/>
      <c r="Y1543" s="34"/>
      <c r="Z1543" s="34"/>
      <c r="AA1543" s="34"/>
      <c r="AB1543" s="34"/>
      <c r="AC1543" s="34"/>
      <c r="AD1543" s="34"/>
    </row>
    <row r="1544" spans="1:30" s="67" customFormat="1" ht="20.25" customHeight="1">
      <c r="A1544" s="294"/>
      <c r="B1544" s="302" t="s">
        <v>615</v>
      </c>
      <c r="C1544" s="294">
        <v>1</v>
      </c>
      <c r="D1544" s="294">
        <v>1</v>
      </c>
      <c r="E1544" s="294">
        <v>1</v>
      </c>
      <c r="F1544" s="300">
        <v>213.64599999999999</v>
      </c>
      <c r="G1544" s="295"/>
      <c r="H1544" s="295">
        <v>0.9</v>
      </c>
      <c r="I1544" s="298">
        <f>PRODUCT(C1544:H1544)</f>
        <v>192.28</v>
      </c>
      <c r="J1544" s="303"/>
    </row>
    <row r="1545" spans="1:30" s="67" customFormat="1" ht="20.25" customHeight="1">
      <c r="A1545" s="294"/>
      <c r="B1545" s="319" t="s">
        <v>238</v>
      </c>
      <c r="C1545" s="294"/>
      <c r="D1545" s="294"/>
      <c r="E1545" s="294"/>
      <c r="F1545" s="295"/>
      <c r="G1545" s="295"/>
      <c r="H1545" s="300"/>
      <c r="I1545" s="298"/>
      <c r="J1545" s="303"/>
    </row>
    <row r="1546" spans="1:30" s="71" customFormat="1" ht="20.25" customHeight="1">
      <c r="A1546" s="294"/>
      <c r="B1546" s="302" t="s">
        <v>237</v>
      </c>
      <c r="C1546" s="294">
        <v>1</v>
      </c>
      <c r="D1546" s="294">
        <v>1</v>
      </c>
      <c r="E1546" s="294">
        <v>1</v>
      </c>
      <c r="F1546" s="300">
        <v>213.64599999999999</v>
      </c>
      <c r="G1546" s="294"/>
      <c r="H1546" s="295">
        <v>35.049999999999997</v>
      </c>
      <c r="I1546" s="298">
        <f t="shared" ref="I1546:I1590" si="63">PRODUCT(C1546:H1546)</f>
        <v>7488.29</v>
      </c>
      <c r="J1546" s="303"/>
      <c r="K1546" s="72"/>
      <c r="L1546" s="72"/>
      <c r="M1546" s="72"/>
      <c r="N1546" s="72">
        <f>2.85*15</f>
        <v>42.75</v>
      </c>
      <c r="O1546" s="72">
        <f>N1546+1.5+0.23</f>
        <v>44.48</v>
      </c>
      <c r="P1546" s="72"/>
      <c r="Q1546" s="72"/>
      <c r="R1546" s="72"/>
      <c r="S1546" s="72"/>
      <c r="T1546" s="72"/>
      <c r="U1546" s="72"/>
      <c r="V1546" s="72"/>
      <c r="W1546" s="72"/>
      <c r="X1546" s="72"/>
      <c r="Y1546" s="72"/>
      <c r="Z1546" s="72"/>
      <c r="AA1546" s="72"/>
      <c r="AB1546" s="72"/>
      <c r="AC1546" s="72"/>
      <c r="AD1546" s="72"/>
    </row>
    <row r="1547" spans="1:30" s="66" customFormat="1" ht="20.25" customHeight="1">
      <c r="A1547" s="294"/>
      <c r="B1547" s="302" t="s">
        <v>236</v>
      </c>
      <c r="C1547" s="294">
        <v>-1</v>
      </c>
      <c r="D1547" s="294">
        <v>1</v>
      </c>
      <c r="E1547" s="294">
        <v>2</v>
      </c>
      <c r="F1547" s="300">
        <v>3.0150000000000001</v>
      </c>
      <c r="G1547" s="295"/>
      <c r="H1547" s="295">
        <v>2.65</v>
      </c>
      <c r="I1547" s="298">
        <f t="shared" si="63"/>
        <v>-15.98</v>
      </c>
      <c r="J1547" s="303"/>
      <c r="K1547" s="67"/>
      <c r="L1547" s="67"/>
      <c r="M1547" s="67"/>
      <c r="N1547" s="67"/>
      <c r="O1547" s="67"/>
      <c r="P1547" s="67"/>
      <c r="Q1547" s="67"/>
      <c r="R1547" s="67"/>
      <c r="S1547" s="67"/>
      <c r="T1547" s="67"/>
      <c r="U1547" s="67"/>
      <c r="V1547" s="67"/>
      <c r="W1547" s="67"/>
      <c r="X1547" s="67"/>
      <c r="Y1547" s="67"/>
      <c r="Z1547" s="67"/>
      <c r="AA1547" s="67"/>
      <c r="AB1547" s="67"/>
      <c r="AC1547" s="67"/>
      <c r="AD1547" s="67"/>
    </row>
    <row r="1548" spans="1:30" s="66" customFormat="1" ht="20.25" customHeight="1">
      <c r="A1548" s="294"/>
      <c r="B1548" s="302" t="s">
        <v>236</v>
      </c>
      <c r="C1548" s="294">
        <v>-1</v>
      </c>
      <c r="D1548" s="294">
        <v>1</v>
      </c>
      <c r="E1548" s="294">
        <v>2</v>
      </c>
      <c r="F1548" s="300">
        <v>2.33</v>
      </c>
      <c r="G1548" s="295"/>
      <c r="H1548" s="295">
        <v>2.65</v>
      </c>
      <c r="I1548" s="298">
        <f t="shared" si="63"/>
        <v>-12.35</v>
      </c>
      <c r="J1548" s="303"/>
      <c r="K1548" s="67"/>
      <c r="L1548" s="67"/>
      <c r="M1548" s="67"/>
      <c r="N1548" s="67"/>
      <c r="O1548" s="67">
        <f>2.85-0.4</f>
        <v>2.4500000000000002</v>
      </c>
      <c r="P1548" s="67"/>
      <c r="Q1548" s="67"/>
      <c r="R1548" s="67"/>
      <c r="S1548" s="67"/>
      <c r="T1548" s="67"/>
      <c r="U1548" s="67"/>
      <c r="V1548" s="67"/>
      <c r="W1548" s="67"/>
      <c r="X1548" s="67"/>
      <c r="Y1548" s="67"/>
      <c r="Z1548" s="67"/>
      <c r="AA1548" s="67"/>
      <c r="AB1548" s="67"/>
      <c r="AC1548" s="67"/>
      <c r="AD1548" s="67"/>
    </row>
    <row r="1549" spans="1:30" s="66" customFormat="1" ht="20.25" customHeight="1">
      <c r="A1549" s="294"/>
      <c r="B1549" s="302" t="s">
        <v>236</v>
      </c>
      <c r="C1549" s="294">
        <v>-1</v>
      </c>
      <c r="D1549" s="294">
        <v>1</v>
      </c>
      <c r="E1549" s="294">
        <v>2</v>
      </c>
      <c r="F1549" s="300">
        <v>2.2799999999999998</v>
      </c>
      <c r="G1549" s="295"/>
      <c r="H1549" s="295">
        <v>2.65</v>
      </c>
      <c r="I1549" s="298">
        <f t="shared" si="63"/>
        <v>-12.08</v>
      </c>
      <c r="J1549" s="303"/>
      <c r="K1549" s="67"/>
      <c r="L1549" s="67"/>
      <c r="M1549" s="67"/>
      <c r="N1549" s="67"/>
      <c r="O1549" s="67"/>
      <c r="P1549" s="67"/>
      <c r="Q1549" s="67"/>
      <c r="R1549" s="67"/>
      <c r="S1549" s="67"/>
      <c r="T1549" s="67"/>
      <c r="U1549" s="67"/>
      <c r="V1549" s="67"/>
      <c r="W1549" s="67"/>
      <c r="X1549" s="67"/>
      <c r="Y1549" s="67"/>
      <c r="Z1549" s="67"/>
      <c r="AA1549" s="67"/>
      <c r="AB1549" s="67"/>
      <c r="AC1549" s="67"/>
      <c r="AD1549" s="67"/>
    </row>
    <row r="1550" spans="1:30" s="66" customFormat="1" ht="20.25" customHeight="1">
      <c r="A1550" s="294"/>
      <c r="B1550" s="302" t="s">
        <v>236</v>
      </c>
      <c r="C1550" s="294">
        <v>-1</v>
      </c>
      <c r="D1550" s="294">
        <v>1</v>
      </c>
      <c r="E1550" s="294">
        <v>2</v>
      </c>
      <c r="F1550" s="300">
        <v>2.9449999999999998</v>
      </c>
      <c r="G1550" s="295"/>
      <c r="H1550" s="295">
        <v>2.65</v>
      </c>
      <c r="I1550" s="298">
        <f t="shared" si="63"/>
        <v>-15.61</v>
      </c>
      <c r="J1550" s="303"/>
      <c r="K1550" s="67"/>
      <c r="L1550" s="67"/>
      <c r="M1550" s="67"/>
      <c r="N1550" s="67"/>
      <c r="O1550" s="67"/>
      <c r="P1550" s="67"/>
      <c r="Q1550" s="67"/>
      <c r="R1550" s="67"/>
      <c r="S1550" s="67"/>
      <c r="T1550" s="67"/>
      <c r="U1550" s="67"/>
      <c r="V1550" s="67"/>
      <c r="W1550" s="67"/>
      <c r="X1550" s="67"/>
      <c r="Y1550" s="67"/>
      <c r="Z1550" s="67"/>
      <c r="AA1550" s="67"/>
      <c r="AB1550" s="67"/>
      <c r="AC1550" s="67"/>
      <c r="AD1550" s="67"/>
    </row>
    <row r="1551" spans="1:30" s="66" customFormat="1" ht="20.25" customHeight="1">
      <c r="A1551" s="294"/>
      <c r="B1551" s="302" t="s">
        <v>236</v>
      </c>
      <c r="C1551" s="294">
        <v>-1</v>
      </c>
      <c r="D1551" s="294">
        <v>2</v>
      </c>
      <c r="E1551" s="294">
        <v>2</v>
      </c>
      <c r="F1551" s="300">
        <v>3.0950000000000002</v>
      </c>
      <c r="G1551" s="295"/>
      <c r="H1551" s="295">
        <v>2.65</v>
      </c>
      <c r="I1551" s="298">
        <f t="shared" si="63"/>
        <v>-32.81</v>
      </c>
      <c r="J1551" s="303"/>
      <c r="K1551" s="67"/>
      <c r="L1551" s="67"/>
      <c r="M1551" s="67"/>
      <c r="N1551" s="67"/>
      <c r="O1551" s="67"/>
      <c r="P1551" s="67"/>
      <c r="Q1551" s="67"/>
      <c r="R1551" s="67"/>
      <c r="S1551" s="67"/>
      <c r="T1551" s="67"/>
      <c r="U1551" s="67"/>
      <c r="V1551" s="67"/>
      <c r="W1551" s="67"/>
      <c r="X1551" s="67"/>
      <c r="Y1551" s="67"/>
      <c r="Z1551" s="67"/>
      <c r="AA1551" s="67"/>
      <c r="AB1551" s="67"/>
      <c r="AC1551" s="67"/>
      <c r="AD1551" s="67"/>
    </row>
    <row r="1552" spans="1:30" s="66" customFormat="1" ht="20.25" customHeight="1">
      <c r="A1552" s="294"/>
      <c r="B1552" s="302" t="s">
        <v>614</v>
      </c>
      <c r="C1552" s="294">
        <v>-1</v>
      </c>
      <c r="D1552" s="294">
        <v>1</v>
      </c>
      <c r="E1552" s="294">
        <v>1</v>
      </c>
      <c r="F1552" s="300">
        <v>2.2999999999999998</v>
      </c>
      <c r="G1552" s="295"/>
      <c r="H1552" s="295">
        <v>2.65</v>
      </c>
      <c r="I1552" s="298">
        <f t="shared" si="63"/>
        <v>-6.1</v>
      </c>
      <c r="J1552" s="303"/>
      <c r="K1552" s="67"/>
      <c r="L1552" s="67"/>
      <c r="M1552" s="67"/>
      <c r="N1552" s="67"/>
      <c r="O1552" s="67"/>
      <c r="P1552" s="67"/>
      <c r="Q1552" s="67"/>
      <c r="R1552" s="67"/>
      <c r="S1552" s="67"/>
      <c r="T1552" s="67"/>
      <c r="U1552" s="67"/>
      <c r="V1552" s="67"/>
      <c r="W1552" s="67"/>
      <c r="X1552" s="67"/>
      <c r="Y1552" s="67"/>
      <c r="Z1552" s="67"/>
      <c r="AA1552" s="67"/>
      <c r="AB1552" s="67"/>
      <c r="AC1552" s="67"/>
      <c r="AD1552" s="67"/>
    </row>
    <row r="1553" spans="1:30" s="66" customFormat="1" ht="20.25" customHeight="1">
      <c r="A1553" s="294"/>
      <c r="B1553" s="302" t="s">
        <v>614</v>
      </c>
      <c r="C1553" s="294">
        <v>-1</v>
      </c>
      <c r="D1553" s="294">
        <v>1</v>
      </c>
      <c r="E1553" s="294">
        <v>3</v>
      </c>
      <c r="F1553" s="300">
        <v>1.75</v>
      </c>
      <c r="G1553" s="295"/>
      <c r="H1553" s="295">
        <v>2.65</v>
      </c>
      <c r="I1553" s="298">
        <f t="shared" si="63"/>
        <v>-13.91</v>
      </c>
      <c r="J1553" s="303"/>
      <c r="K1553" s="67"/>
      <c r="L1553" s="67"/>
      <c r="M1553" s="67"/>
      <c r="N1553" s="67"/>
      <c r="O1553" s="67"/>
      <c r="P1553" s="67"/>
      <c r="Q1553" s="67"/>
      <c r="R1553" s="67"/>
      <c r="S1553" s="67"/>
      <c r="T1553" s="67"/>
      <c r="U1553" s="67"/>
      <c r="V1553" s="67"/>
      <c r="W1553" s="67"/>
      <c r="X1553" s="67"/>
      <c r="Y1553" s="67"/>
      <c r="Z1553" s="67"/>
      <c r="AA1553" s="67"/>
      <c r="AB1553" s="67"/>
      <c r="AC1553" s="67"/>
      <c r="AD1553" s="67"/>
    </row>
    <row r="1554" spans="1:30" s="66" customFormat="1" ht="20.25" customHeight="1">
      <c r="A1554" s="294"/>
      <c r="B1554" s="302" t="s">
        <v>235</v>
      </c>
      <c r="C1554" s="294">
        <v>-1</v>
      </c>
      <c r="D1554" s="294">
        <v>1</v>
      </c>
      <c r="E1554" s="294">
        <v>4</v>
      </c>
      <c r="F1554" s="300">
        <v>1.5</v>
      </c>
      <c r="G1554" s="295"/>
      <c r="H1554" s="295">
        <v>1.35</v>
      </c>
      <c r="I1554" s="298">
        <f t="shared" si="63"/>
        <v>-8.1</v>
      </c>
      <c r="J1554" s="303"/>
      <c r="K1554" s="67"/>
      <c r="L1554" s="67"/>
      <c r="M1554" s="67"/>
      <c r="N1554" s="67"/>
      <c r="O1554" s="67"/>
      <c r="P1554" s="67"/>
      <c r="Q1554" s="67"/>
      <c r="R1554" s="67"/>
      <c r="S1554" s="67"/>
      <c r="T1554" s="67"/>
      <c r="U1554" s="67"/>
      <c r="V1554" s="67"/>
      <c r="W1554" s="67"/>
      <c r="X1554" s="67"/>
      <c r="Y1554" s="67"/>
      <c r="Z1554" s="67"/>
      <c r="AA1554" s="67"/>
      <c r="AB1554" s="67"/>
      <c r="AC1554" s="67"/>
      <c r="AD1554" s="67"/>
    </row>
    <row r="1555" spans="1:30" s="66" customFormat="1" ht="20.25" customHeight="1">
      <c r="A1555" s="294"/>
      <c r="B1555" s="302" t="s">
        <v>234</v>
      </c>
      <c r="C1555" s="294">
        <v>-10</v>
      </c>
      <c r="D1555" s="294">
        <v>1</v>
      </c>
      <c r="E1555" s="294">
        <v>12</v>
      </c>
      <c r="F1555" s="300">
        <v>1.8</v>
      </c>
      <c r="G1555" s="295"/>
      <c r="H1555" s="295">
        <v>1.35</v>
      </c>
      <c r="I1555" s="298">
        <f t="shared" si="63"/>
        <v>-291.60000000000002</v>
      </c>
      <c r="J1555" s="303"/>
      <c r="K1555" s="67"/>
      <c r="L1555" s="67"/>
      <c r="M1555" s="67"/>
      <c r="N1555" s="67"/>
      <c r="O1555" s="67"/>
      <c r="P1555" s="67"/>
      <c r="Q1555" s="67"/>
      <c r="R1555" s="67"/>
      <c r="S1555" s="67"/>
      <c r="T1555" s="67"/>
      <c r="U1555" s="67"/>
      <c r="V1555" s="67"/>
      <c r="W1555" s="67"/>
      <c r="X1555" s="67"/>
      <c r="Y1555" s="67"/>
      <c r="Z1555" s="67"/>
      <c r="AA1555" s="67"/>
      <c r="AB1555" s="67"/>
      <c r="AC1555" s="67"/>
      <c r="AD1555" s="67"/>
    </row>
    <row r="1556" spans="1:30" s="66" customFormat="1" ht="20.25" customHeight="1">
      <c r="A1556" s="294"/>
      <c r="B1556" s="302" t="s">
        <v>233</v>
      </c>
      <c r="C1556" s="294">
        <v>-10</v>
      </c>
      <c r="D1556" s="294">
        <v>1</v>
      </c>
      <c r="E1556" s="294">
        <v>4</v>
      </c>
      <c r="F1556" s="300">
        <v>1.5</v>
      </c>
      <c r="G1556" s="295"/>
      <c r="H1556" s="295">
        <v>1.35</v>
      </c>
      <c r="I1556" s="298">
        <f t="shared" si="63"/>
        <v>-81</v>
      </c>
      <c r="J1556" s="303"/>
      <c r="K1556" s="67"/>
      <c r="L1556" s="67"/>
      <c r="M1556" s="67"/>
      <c r="N1556" s="67"/>
      <c r="O1556" s="67"/>
      <c r="P1556" s="67"/>
      <c r="Q1556" s="67"/>
      <c r="R1556" s="67"/>
      <c r="S1556" s="67"/>
      <c r="T1556" s="67"/>
      <c r="U1556" s="67"/>
      <c r="V1556" s="67"/>
      <c r="W1556" s="67"/>
      <c r="X1556" s="67"/>
      <c r="Y1556" s="67"/>
      <c r="Z1556" s="67"/>
      <c r="AA1556" s="67"/>
      <c r="AB1556" s="67"/>
      <c r="AC1556" s="67"/>
      <c r="AD1556" s="67"/>
    </row>
    <row r="1557" spans="1:30" s="66" customFormat="1" ht="20.25" customHeight="1">
      <c r="A1557" s="294"/>
      <c r="B1557" s="302" t="s">
        <v>232</v>
      </c>
      <c r="C1557" s="294">
        <v>-10</v>
      </c>
      <c r="D1557" s="294">
        <v>1</v>
      </c>
      <c r="E1557" s="294">
        <v>3</v>
      </c>
      <c r="F1557" s="300">
        <v>1.8</v>
      </c>
      <c r="G1557" s="295"/>
      <c r="H1557" s="295">
        <v>1.35</v>
      </c>
      <c r="I1557" s="298">
        <f t="shared" si="63"/>
        <v>-72.900000000000006</v>
      </c>
      <c r="J1557" s="303"/>
      <c r="K1557" s="67"/>
      <c r="L1557" s="67"/>
      <c r="M1557" s="67"/>
      <c r="N1557" s="67"/>
      <c r="O1557" s="67"/>
      <c r="P1557" s="67"/>
      <c r="Q1557" s="67"/>
      <c r="R1557" s="67"/>
      <c r="S1557" s="67"/>
      <c r="T1557" s="67"/>
      <c r="U1557" s="67"/>
      <c r="V1557" s="67"/>
      <c r="W1557" s="67"/>
      <c r="X1557" s="67"/>
      <c r="Y1557" s="67"/>
      <c r="Z1557" s="67"/>
      <c r="AA1557" s="67"/>
      <c r="AB1557" s="67"/>
      <c r="AC1557" s="67"/>
      <c r="AD1557" s="67"/>
    </row>
    <row r="1558" spans="1:30" s="66" customFormat="1" ht="20.25" customHeight="1">
      <c r="A1558" s="294"/>
      <c r="B1558" s="302" t="s">
        <v>231</v>
      </c>
      <c r="C1558" s="294">
        <v>-10</v>
      </c>
      <c r="D1558" s="294">
        <v>1</v>
      </c>
      <c r="E1558" s="294">
        <v>6</v>
      </c>
      <c r="F1558" s="300">
        <v>1.2</v>
      </c>
      <c r="G1558" s="295"/>
      <c r="H1558" s="295">
        <v>1.35</v>
      </c>
      <c r="I1558" s="298">
        <f t="shared" si="63"/>
        <v>-97.2</v>
      </c>
      <c r="J1558" s="303"/>
      <c r="K1558" s="67"/>
      <c r="L1558" s="67"/>
      <c r="M1558" s="67"/>
      <c r="N1558" s="67"/>
      <c r="O1558" s="67"/>
      <c r="P1558" s="67"/>
      <c r="Q1558" s="67"/>
      <c r="R1558" s="67"/>
      <c r="S1558" s="67"/>
      <c r="T1558" s="67"/>
      <c r="U1558" s="67"/>
      <c r="V1558" s="67"/>
      <c r="W1558" s="67"/>
      <c r="X1558" s="67"/>
      <c r="Y1558" s="67"/>
      <c r="Z1558" s="67"/>
      <c r="AA1558" s="67"/>
      <c r="AB1558" s="67"/>
      <c r="AC1558" s="67"/>
      <c r="AD1558" s="67"/>
    </row>
    <row r="1559" spans="1:30" s="66" customFormat="1" ht="20.25" customHeight="1">
      <c r="A1559" s="294"/>
      <c r="B1559" s="302" t="s">
        <v>230</v>
      </c>
      <c r="C1559" s="294">
        <v>-10</v>
      </c>
      <c r="D1559" s="294">
        <v>5</v>
      </c>
      <c r="E1559" s="294">
        <v>4</v>
      </c>
      <c r="F1559" s="300">
        <v>0.75</v>
      </c>
      <c r="G1559" s="295"/>
      <c r="H1559" s="295">
        <v>0.75</v>
      </c>
      <c r="I1559" s="298">
        <f t="shared" si="63"/>
        <v>-112.5</v>
      </c>
      <c r="J1559" s="303"/>
      <c r="K1559" s="67"/>
      <c r="L1559" s="67"/>
      <c r="M1559" s="67"/>
      <c r="N1559" s="67"/>
      <c r="O1559" s="67"/>
      <c r="P1559" s="67"/>
      <c r="Q1559" s="67"/>
      <c r="R1559" s="67"/>
      <c r="S1559" s="67"/>
      <c r="T1559" s="67"/>
      <c r="U1559" s="67"/>
      <c r="V1559" s="67"/>
      <c r="W1559" s="67"/>
      <c r="X1559" s="67"/>
      <c r="Y1559" s="67"/>
      <c r="Z1559" s="67"/>
      <c r="AA1559" s="67"/>
      <c r="AB1559" s="67"/>
      <c r="AC1559" s="67"/>
      <c r="AD1559" s="67"/>
    </row>
    <row r="1560" spans="1:30" s="66" customFormat="1" ht="20.25" customHeight="1">
      <c r="A1560" s="294"/>
      <c r="B1560" s="302" t="s">
        <v>229</v>
      </c>
      <c r="C1560" s="294">
        <v>-10</v>
      </c>
      <c r="D1560" s="294">
        <v>5</v>
      </c>
      <c r="E1560" s="294">
        <v>2</v>
      </c>
      <c r="F1560" s="300">
        <v>1.6</v>
      </c>
      <c r="G1560" s="295"/>
      <c r="H1560" s="295">
        <v>1.5</v>
      </c>
      <c r="I1560" s="298">
        <f t="shared" si="63"/>
        <v>-240</v>
      </c>
      <c r="J1560" s="303"/>
      <c r="K1560" s="67"/>
      <c r="L1560" s="67"/>
      <c r="M1560" s="67"/>
      <c r="N1560" s="67"/>
      <c r="O1560" s="67"/>
      <c r="P1560" s="67"/>
      <c r="Q1560" s="67"/>
      <c r="R1560" s="67"/>
      <c r="S1560" s="67"/>
      <c r="T1560" s="67"/>
      <c r="U1560" s="67"/>
      <c r="V1560" s="67"/>
      <c r="W1560" s="67"/>
      <c r="X1560" s="67"/>
      <c r="Y1560" s="67"/>
      <c r="Z1560" s="67"/>
      <c r="AA1560" s="67"/>
      <c r="AB1560" s="67"/>
      <c r="AC1560" s="67"/>
      <c r="AD1560" s="67"/>
    </row>
    <row r="1561" spans="1:30" s="71" customFormat="1" ht="20.25" customHeight="1">
      <c r="A1561" s="294"/>
      <c r="B1561" s="302" t="s">
        <v>613</v>
      </c>
      <c r="C1561" s="294">
        <v>1</v>
      </c>
      <c r="D1561" s="294">
        <v>1</v>
      </c>
      <c r="E1561" s="294">
        <v>5</v>
      </c>
      <c r="F1561" s="295">
        <v>1.96</v>
      </c>
      <c r="G1561" s="295">
        <v>0.6</v>
      </c>
      <c r="H1561" s="295"/>
      <c r="I1561" s="298">
        <f t="shared" si="63"/>
        <v>5.88</v>
      </c>
      <c r="J1561" s="303"/>
      <c r="K1561" s="72"/>
      <c r="L1561" s="72"/>
      <c r="M1561" s="72"/>
      <c r="N1561" s="72">
        <f>1.5+0.46</f>
        <v>1.96</v>
      </c>
      <c r="O1561" s="72"/>
      <c r="P1561" s="72"/>
      <c r="Q1561" s="72"/>
      <c r="R1561" s="72"/>
      <c r="S1561" s="72"/>
      <c r="T1561" s="72"/>
      <c r="U1561" s="72"/>
      <c r="V1561" s="72"/>
      <c r="W1561" s="72"/>
      <c r="X1561" s="72"/>
      <c r="Y1561" s="72"/>
      <c r="Z1561" s="72"/>
      <c r="AA1561" s="72"/>
      <c r="AB1561" s="72"/>
      <c r="AC1561" s="72"/>
      <c r="AD1561" s="72"/>
    </row>
    <row r="1562" spans="1:30" s="71" customFormat="1" ht="20.25" customHeight="1">
      <c r="A1562" s="294"/>
      <c r="B1562" s="302" t="s">
        <v>612</v>
      </c>
      <c r="C1562" s="294">
        <v>1</v>
      </c>
      <c r="D1562" s="294">
        <v>2</v>
      </c>
      <c r="E1562" s="294">
        <v>5</v>
      </c>
      <c r="F1562" s="295">
        <v>0.6</v>
      </c>
      <c r="G1562" s="294"/>
      <c r="H1562" s="300">
        <v>6.5000000000000002E-2</v>
      </c>
      <c r="I1562" s="298">
        <f t="shared" si="63"/>
        <v>0.39</v>
      </c>
      <c r="J1562" s="303"/>
      <c r="K1562" s="72"/>
      <c r="L1562" s="72"/>
      <c r="M1562" s="72"/>
      <c r="N1562" s="72"/>
      <c r="O1562" s="72"/>
      <c r="P1562" s="72"/>
      <c r="Q1562" s="72"/>
      <c r="R1562" s="72"/>
      <c r="S1562" s="72"/>
      <c r="T1562" s="72"/>
      <c r="U1562" s="72"/>
      <c r="V1562" s="72"/>
      <c r="W1562" s="72"/>
      <c r="X1562" s="72"/>
      <c r="Y1562" s="72"/>
      <c r="Z1562" s="72"/>
      <c r="AA1562" s="72"/>
      <c r="AB1562" s="72"/>
      <c r="AC1562" s="72"/>
      <c r="AD1562" s="72"/>
    </row>
    <row r="1563" spans="1:30" s="71" customFormat="1" ht="20.25" customHeight="1">
      <c r="A1563" s="294"/>
      <c r="B1563" s="302" t="s">
        <v>611</v>
      </c>
      <c r="C1563" s="294">
        <v>10</v>
      </c>
      <c r="D1563" s="294">
        <v>1</v>
      </c>
      <c r="E1563" s="294">
        <v>12</v>
      </c>
      <c r="F1563" s="295">
        <v>2.2599999999999998</v>
      </c>
      <c r="G1563" s="295">
        <v>0.6</v>
      </c>
      <c r="H1563" s="295"/>
      <c r="I1563" s="298">
        <f t="shared" si="63"/>
        <v>162.72</v>
      </c>
      <c r="J1563" s="303"/>
      <c r="K1563" s="72"/>
      <c r="L1563" s="72"/>
      <c r="M1563" s="72"/>
      <c r="N1563" s="72">
        <f>1.8+0.46</f>
        <v>2.2599999999999998</v>
      </c>
      <c r="O1563" s="72"/>
      <c r="P1563" s="72"/>
      <c r="Q1563" s="72"/>
      <c r="R1563" s="72"/>
      <c r="S1563" s="72"/>
      <c r="T1563" s="72"/>
      <c r="U1563" s="72"/>
      <c r="V1563" s="72"/>
      <c r="W1563" s="72"/>
      <c r="X1563" s="72"/>
      <c r="Y1563" s="72"/>
      <c r="Z1563" s="72"/>
      <c r="AA1563" s="72"/>
      <c r="AB1563" s="72"/>
      <c r="AC1563" s="72"/>
      <c r="AD1563" s="72"/>
    </row>
    <row r="1564" spans="1:30" s="71" customFormat="1" ht="20.25" customHeight="1">
      <c r="A1564" s="294"/>
      <c r="B1564" s="302" t="s">
        <v>610</v>
      </c>
      <c r="C1564" s="294">
        <v>10</v>
      </c>
      <c r="D1564" s="294">
        <v>2</v>
      </c>
      <c r="E1564" s="294">
        <v>12</v>
      </c>
      <c r="F1564" s="295">
        <v>0.6</v>
      </c>
      <c r="G1564" s="294"/>
      <c r="H1564" s="300">
        <v>6.5000000000000002E-2</v>
      </c>
      <c r="I1564" s="298">
        <f t="shared" si="63"/>
        <v>9.36</v>
      </c>
      <c r="J1564" s="303"/>
      <c r="K1564" s="72"/>
      <c r="L1564" s="72"/>
      <c r="M1564" s="72"/>
      <c r="N1564" s="72"/>
      <c r="O1564" s="72"/>
      <c r="P1564" s="72"/>
      <c r="Q1564" s="72"/>
      <c r="R1564" s="72"/>
      <c r="S1564" s="72"/>
      <c r="T1564" s="72"/>
      <c r="U1564" s="72"/>
      <c r="V1564" s="72"/>
      <c r="W1564" s="72"/>
      <c r="X1564" s="72"/>
      <c r="Y1564" s="72"/>
      <c r="Z1564" s="72"/>
      <c r="AA1564" s="72"/>
      <c r="AB1564" s="72"/>
      <c r="AC1564" s="72"/>
      <c r="AD1564" s="72"/>
    </row>
    <row r="1565" spans="1:30" s="66" customFormat="1" ht="19.5" customHeight="1">
      <c r="A1565" s="294"/>
      <c r="B1565" s="302" t="s">
        <v>609</v>
      </c>
      <c r="C1565" s="294">
        <v>10</v>
      </c>
      <c r="D1565" s="294">
        <v>1</v>
      </c>
      <c r="E1565" s="294">
        <v>4</v>
      </c>
      <c r="F1565" s="295">
        <v>1.96</v>
      </c>
      <c r="G1565" s="295">
        <v>0.6</v>
      </c>
      <c r="H1565" s="295"/>
      <c r="I1565" s="298">
        <f t="shared" si="63"/>
        <v>47.04</v>
      </c>
      <c r="J1565" s="303"/>
      <c r="K1565" s="67"/>
      <c r="L1565" s="67"/>
      <c r="M1565" s="67"/>
      <c r="N1565" s="67"/>
      <c r="O1565" s="67"/>
      <c r="P1565" s="67"/>
      <c r="Q1565" s="67"/>
      <c r="R1565" s="67"/>
      <c r="S1565" s="67"/>
      <c r="T1565" s="67"/>
      <c r="U1565" s="67"/>
      <c r="V1565" s="67"/>
      <c r="W1565" s="67"/>
      <c r="X1565" s="67"/>
      <c r="Y1565" s="67"/>
      <c r="Z1565" s="67"/>
      <c r="AA1565" s="67"/>
      <c r="AB1565" s="67"/>
      <c r="AC1565" s="67"/>
      <c r="AD1565" s="67"/>
    </row>
    <row r="1566" spans="1:30" s="66" customFormat="1" ht="19.5" customHeight="1">
      <c r="A1566" s="294"/>
      <c r="B1566" s="302" t="s">
        <v>608</v>
      </c>
      <c r="C1566" s="294">
        <v>10</v>
      </c>
      <c r="D1566" s="294">
        <v>2</v>
      </c>
      <c r="E1566" s="294">
        <v>4</v>
      </c>
      <c r="F1566" s="295">
        <v>0.6</v>
      </c>
      <c r="G1566" s="294"/>
      <c r="H1566" s="300">
        <v>6.5000000000000002E-2</v>
      </c>
      <c r="I1566" s="298">
        <f t="shared" si="63"/>
        <v>3.12</v>
      </c>
      <c r="J1566" s="477"/>
      <c r="K1566" s="70"/>
      <c r="L1566" s="70"/>
      <c r="M1566" s="70"/>
      <c r="N1566" s="67"/>
      <c r="O1566" s="67"/>
      <c r="P1566" s="67"/>
      <c r="Q1566" s="67"/>
      <c r="R1566" s="67"/>
      <c r="S1566" s="67"/>
      <c r="T1566" s="67"/>
      <c r="U1566" s="67"/>
      <c r="V1566" s="67"/>
      <c r="W1566" s="67"/>
      <c r="X1566" s="67"/>
      <c r="Y1566" s="67"/>
      <c r="Z1566" s="67"/>
      <c r="AA1566" s="67"/>
      <c r="AB1566" s="67"/>
      <c r="AC1566" s="67"/>
      <c r="AD1566" s="67"/>
    </row>
    <row r="1567" spans="1:30" s="66" customFormat="1" ht="19.5" customHeight="1">
      <c r="A1567" s="294"/>
      <c r="B1567" s="302" t="s">
        <v>607</v>
      </c>
      <c r="C1567" s="294">
        <v>10</v>
      </c>
      <c r="D1567" s="294">
        <v>1</v>
      </c>
      <c r="E1567" s="294">
        <v>3</v>
      </c>
      <c r="F1567" s="295">
        <v>2.2599999999999998</v>
      </c>
      <c r="G1567" s="295">
        <v>0.6</v>
      </c>
      <c r="H1567" s="295"/>
      <c r="I1567" s="298">
        <f t="shared" si="63"/>
        <v>40.68</v>
      </c>
      <c r="J1567" s="303"/>
      <c r="K1567" s="67"/>
      <c r="L1567" s="67"/>
      <c r="M1567" s="67"/>
      <c r="N1567" s="67"/>
      <c r="O1567" s="67"/>
      <c r="P1567" s="67"/>
      <c r="Q1567" s="67"/>
      <c r="R1567" s="67"/>
      <c r="S1567" s="67"/>
      <c r="T1567" s="67"/>
      <c r="U1567" s="67"/>
      <c r="V1567" s="67"/>
      <c r="W1567" s="67"/>
      <c r="X1567" s="67"/>
      <c r="Y1567" s="67"/>
      <c r="Z1567" s="67"/>
      <c r="AA1567" s="67"/>
      <c r="AB1567" s="67"/>
      <c r="AC1567" s="67"/>
      <c r="AD1567" s="67"/>
    </row>
    <row r="1568" spans="1:30" s="66" customFormat="1" ht="28.5" customHeight="1">
      <c r="A1568" s="294"/>
      <c r="B1568" s="302" t="s">
        <v>606</v>
      </c>
      <c r="C1568" s="294">
        <v>10</v>
      </c>
      <c r="D1568" s="294">
        <v>2</v>
      </c>
      <c r="E1568" s="294">
        <v>3</v>
      </c>
      <c r="F1568" s="295">
        <v>0.6</v>
      </c>
      <c r="G1568" s="294"/>
      <c r="H1568" s="300">
        <v>6.5000000000000002E-2</v>
      </c>
      <c r="I1568" s="298">
        <f t="shared" si="63"/>
        <v>2.34</v>
      </c>
      <c r="J1568" s="303"/>
      <c r="K1568" s="67"/>
      <c r="L1568" s="67"/>
      <c r="M1568" s="67"/>
      <c r="N1568" s="67"/>
      <c r="O1568" s="67"/>
      <c r="P1568" s="67"/>
      <c r="Q1568" s="67"/>
      <c r="R1568" s="67"/>
      <c r="S1568" s="67"/>
      <c r="T1568" s="67"/>
      <c r="U1568" s="67"/>
      <c r="V1568" s="67"/>
      <c r="W1568" s="67"/>
      <c r="X1568" s="67"/>
      <c r="Y1568" s="67"/>
      <c r="Z1568" s="67"/>
      <c r="AA1568" s="67"/>
      <c r="AB1568" s="67"/>
      <c r="AC1568" s="67"/>
      <c r="AD1568" s="67"/>
    </row>
    <row r="1569" spans="1:30" s="68" customFormat="1" ht="19.5" customHeight="1">
      <c r="A1569" s="467"/>
      <c r="B1569" s="302" t="s">
        <v>605</v>
      </c>
      <c r="C1569" s="294">
        <v>10</v>
      </c>
      <c r="D1569" s="294">
        <v>1</v>
      </c>
      <c r="E1569" s="294">
        <v>2</v>
      </c>
      <c r="F1569" s="295">
        <v>1.66</v>
      </c>
      <c r="G1569" s="295">
        <v>0.6</v>
      </c>
      <c r="H1569" s="295"/>
      <c r="I1569" s="298">
        <f t="shared" si="63"/>
        <v>19.920000000000002</v>
      </c>
      <c r="J1569" s="470"/>
      <c r="K1569" s="69"/>
      <c r="L1569" s="69"/>
      <c r="M1569" s="69"/>
      <c r="N1569" s="69">
        <f>1.2+0.46</f>
        <v>1.66</v>
      </c>
      <c r="O1569" s="69"/>
      <c r="P1569" s="69"/>
      <c r="Q1569" s="69"/>
      <c r="R1569" s="69"/>
      <c r="S1569" s="69"/>
      <c r="T1569" s="69"/>
      <c r="U1569" s="69"/>
      <c r="V1569" s="69"/>
      <c r="W1569" s="69"/>
      <c r="X1569" s="69"/>
      <c r="Y1569" s="69"/>
      <c r="Z1569" s="69"/>
      <c r="AA1569" s="69"/>
      <c r="AB1569" s="69"/>
      <c r="AC1569" s="69"/>
      <c r="AD1569" s="69"/>
    </row>
    <row r="1570" spans="1:30" s="68" customFormat="1" ht="19.5" customHeight="1">
      <c r="A1570" s="467"/>
      <c r="B1570" s="302" t="s">
        <v>604</v>
      </c>
      <c r="C1570" s="294">
        <v>10</v>
      </c>
      <c r="D1570" s="294">
        <v>2</v>
      </c>
      <c r="E1570" s="294">
        <v>2</v>
      </c>
      <c r="F1570" s="295">
        <v>0.6</v>
      </c>
      <c r="G1570" s="294"/>
      <c r="H1570" s="300">
        <v>6.5000000000000002E-2</v>
      </c>
      <c r="I1570" s="298">
        <f t="shared" si="63"/>
        <v>1.56</v>
      </c>
      <c r="J1570" s="470"/>
      <c r="K1570" s="69"/>
      <c r="L1570" s="69"/>
      <c r="M1570" s="69"/>
      <c r="N1570" s="69"/>
      <c r="O1570" s="69"/>
      <c r="P1570" s="69"/>
      <c r="Q1570" s="69"/>
      <c r="R1570" s="69"/>
      <c r="S1570" s="69"/>
      <c r="T1570" s="69"/>
      <c r="U1570" s="69"/>
      <c r="V1570" s="69"/>
      <c r="W1570" s="69"/>
      <c r="X1570" s="69"/>
      <c r="Y1570" s="69"/>
      <c r="Z1570" s="69"/>
      <c r="AA1570" s="69"/>
      <c r="AB1570" s="69"/>
      <c r="AC1570" s="69"/>
      <c r="AD1570" s="69"/>
    </row>
    <row r="1571" spans="1:30" s="64" customFormat="1" ht="21.75" customHeight="1">
      <c r="A1571" s="307"/>
      <c r="B1571" s="293" t="s">
        <v>603</v>
      </c>
      <c r="C1571" s="307">
        <v>1</v>
      </c>
      <c r="D1571" s="307">
        <v>1</v>
      </c>
      <c r="E1571" s="307">
        <v>3</v>
      </c>
      <c r="F1571" s="307">
        <v>19.02</v>
      </c>
      <c r="G1571" s="307"/>
      <c r="H1571" s="307">
        <v>1.35</v>
      </c>
      <c r="I1571" s="298">
        <f t="shared" si="63"/>
        <v>77.03</v>
      </c>
      <c r="J1571" s="322"/>
      <c r="K1571" s="65"/>
      <c r="L1571" s="65"/>
      <c r="M1571" s="65"/>
      <c r="N1571" s="65">
        <f>5.55+2.85+5.55+2.372+0.936+1.763</f>
        <v>19.021000000000001</v>
      </c>
      <c r="O1571" s="65">
        <f>2.85-0.125</f>
        <v>2.7250000000000001</v>
      </c>
      <c r="P1571" s="65">
        <f>2.85-1.5</f>
        <v>1.35</v>
      </c>
      <c r="Q1571" s="65"/>
      <c r="R1571" s="65"/>
      <c r="S1571" s="65"/>
      <c r="T1571" s="65"/>
      <c r="U1571" s="65"/>
      <c r="V1571" s="65"/>
      <c r="W1571" s="65"/>
      <c r="X1571" s="65"/>
      <c r="Y1571" s="65"/>
      <c r="Z1571" s="65"/>
      <c r="AA1571" s="65"/>
      <c r="AB1571" s="65"/>
      <c r="AC1571" s="65"/>
      <c r="AD1571" s="65"/>
    </row>
    <row r="1572" spans="1:30" s="64" customFormat="1" ht="21.75" customHeight="1">
      <c r="A1572" s="307"/>
      <c r="B1572" s="293" t="s">
        <v>602</v>
      </c>
      <c r="C1572" s="307">
        <v>1</v>
      </c>
      <c r="D1572" s="307">
        <v>2</v>
      </c>
      <c r="E1572" s="307">
        <v>10</v>
      </c>
      <c r="F1572" s="308">
        <v>21.32</v>
      </c>
      <c r="G1572" s="308"/>
      <c r="H1572" s="308">
        <v>1.35</v>
      </c>
      <c r="I1572" s="323">
        <f t="shared" si="63"/>
        <v>575.64</v>
      </c>
      <c r="J1572" s="322"/>
      <c r="K1572" s="65"/>
      <c r="L1572" s="65"/>
      <c r="M1572" s="65"/>
      <c r="N1572" s="75">
        <f>8.895+0.46</f>
        <v>9.3550000000000004</v>
      </c>
      <c r="O1572" s="75">
        <f>N1572-1</f>
        <v>8.3550000000000004</v>
      </c>
      <c r="P1572" s="65"/>
      <c r="Q1572" s="65"/>
      <c r="R1572" s="65"/>
      <c r="S1572" s="65"/>
      <c r="T1572" s="65"/>
      <c r="U1572" s="65"/>
      <c r="V1572" s="65"/>
      <c r="W1572" s="65"/>
      <c r="X1572" s="65"/>
      <c r="Y1572" s="65"/>
      <c r="Z1572" s="65"/>
      <c r="AA1572" s="65"/>
      <c r="AB1572" s="65"/>
      <c r="AC1572" s="65"/>
      <c r="AD1572" s="65"/>
    </row>
    <row r="1573" spans="1:30" s="64" customFormat="1" ht="35.25" customHeight="1">
      <c r="A1573" s="307"/>
      <c r="B1573" s="293" t="s">
        <v>601</v>
      </c>
      <c r="C1573" s="307">
        <v>1</v>
      </c>
      <c r="D1573" s="307">
        <v>1</v>
      </c>
      <c r="E1573" s="307">
        <v>10</v>
      </c>
      <c r="F1573" s="308">
        <v>30.54</v>
      </c>
      <c r="G1573" s="308">
        <v>0.5</v>
      </c>
      <c r="H1573" s="308"/>
      <c r="I1573" s="323">
        <f t="shared" si="63"/>
        <v>152.69999999999999</v>
      </c>
      <c r="J1573" s="322"/>
      <c r="K1573" s="65"/>
      <c r="L1573" s="65"/>
      <c r="M1573" s="65"/>
      <c r="N1573" s="65">
        <f>5.465+0.46</f>
        <v>5.9249999999999998</v>
      </c>
      <c r="O1573" s="75">
        <f>N1573-1</f>
        <v>4.9249999999999998</v>
      </c>
      <c r="P1573" s="65"/>
      <c r="Q1573" s="75"/>
      <c r="R1573" s="65"/>
      <c r="S1573" s="65">
        <f>9.34+5.93+9.34+5.93</f>
        <v>30.54</v>
      </c>
      <c r="T1573" s="65"/>
      <c r="U1573" s="65"/>
      <c r="V1573" s="65"/>
      <c r="W1573" s="65"/>
      <c r="X1573" s="65"/>
      <c r="Y1573" s="65"/>
      <c r="Z1573" s="65"/>
      <c r="AA1573" s="65"/>
      <c r="AB1573" s="65"/>
      <c r="AC1573" s="65"/>
      <c r="AD1573" s="65"/>
    </row>
    <row r="1574" spans="1:30" s="64" customFormat="1" ht="31.5" customHeight="1">
      <c r="A1574" s="307"/>
      <c r="B1574" s="293" t="s">
        <v>600</v>
      </c>
      <c r="C1574" s="307">
        <v>1</v>
      </c>
      <c r="D1574" s="307">
        <v>1</v>
      </c>
      <c r="E1574" s="307">
        <v>10</v>
      </c>
      <c r="F1574" s="308">
        <v>5.93</v>
      </c>
      <c r="G1574" s="308">
        <v>0.5</v>
      </c>
      <c r="H1574" s="308"/>
      <c r="I1574" s="323">
        <f t="shared" si="63"/>
        <v>29.65</v>
      </c>
      <c r="J1574" s="322"/>
      <c r="K1574" s="65"/>
      <c r="L1574" s="65"/>
      <c r="M1574" s="65"/>
      <c r="N1574" s="65"/>
      <c r="O1574" s="65"/>
      <c r="P1574" s="65"/>
      <c r="Q1574" s="65"/>
      <c r="R1574" s="65"/>
      <c r="S1574" s="65"/>
      <c r="T1574" s="65"/>
      <c r="U1574" s="65"/>
      <c r="V1574" s="65"/>
      <c r="W1574" s="65"/>
      <c r="X1574" s="65"/>
      <c r="Y1574" s="65"/>
      <c r="Z1574" s="65"/>
      <c r="AA1574" s="65"/>
      <c r="AB1574" s="65"/>
      <c r="AC1574" s="65"/>
      <c r="AD1574" s="65"/>
    </row>
    <row r="1575" spans="1:30" s="64" customFormat="1" ht="37.5" customHeight="1">
      <c r="A1575" s="321"/>
      <c r="B1575" s="293" t="s">
        <v>599</v>
      </c>
      <c r="C1575" s="307">
        <v>1</v>
      </c>
      <c r="D1575" s="307">
        <v>1</v>
      </c>
      <c r="E1575" s="307">
        <v>10</v>
      </c>
      <c r="F1575" s="307">
        <v>19.02</v>
      </c>
      <c r="G1575" s="307"/>
      <c r="H1575" s="307">
        <v>0.45</v>
      </c>
      <c r="I1575" s="323">
        <f t="shared" si="63"/>
        <v>85.59</v>
      </c>
      <c r="J1575" s="322"/>
      <c r="K1575" s="65"/>
      <c r="L1575" s="65"/>
      <c r="M1575" s="65"/>
      <c r="N1575" s="65"/>
      <c r="O1575" s="65"/>
      <c r="P1575" s="65"/>
      <c r="Q1575" s="65"/>
      <c r="R1575" s="65"/>
      <c r="S1575" s="65"/>
      <c r="T1575" s="65"/>
      <c r="U1575" s="65"/>
      <c r="V1575" s="65"/>
      <c r="W1575" s="65"/>
      <c r="X1575" s="65"/>
      <c r="Y1575" s="65"/>
      <c r="Z1575" s="65"/>
      <c r="AA1575" s="65"/>
      <c r="AB1575" s="65"/>
      <c r="AC1575" s="65"/>
      <c r="AD1575" s="65"/>
    </row>
    <row r="1576" spans="1:30" s="64" customFormat="1" ht="31.5" customHeight="1">
      <c r="A1576" s="321"/>
      <c r="B1576" s="293" t="s">
        <v>598</v>
      </c>
      <c r="C1576" s="307">
        <v>1</v>
      </c>
      <c r="D1576" s="307">
        <v>1</v>
      </c>
      <c r="E1576" s="307">
        <v>3</v>
      </c>
      <c r="F1576" s="308">
        <v>21</v>
      </c>
      <c r="G1576" s="307"/>
      <c r="H1576" s="307">
        <v>0.68</v>
      </c>
      <c r="I1576" s="323">
        <f t="shared" si="63"/>
        <v>42.84</v>
      </c>
      <c r="J1576" s="322"/>
      <c r="K1576" s="65"/>
      <c r="L1576" s="65"/>
      <c r="M1576" s="65"/>
      <c r="N1576" s="65"/>
      <c r="O1576" s="65"/>
      <c r="P1576" s="65"/>
      <c r="Q1576" s="65"/>
      <c r="R1576" s="65"/>
      <c r="S1576" s="65"/>
      <c r="T1576" s="65"/>
      <c r="U1576" s="65"/>
      <c r="V1576" s="65"/>
      <c r="W1576" s="65"/>
      <c r="X1576" s="65"/>
      <c r="Y1576" s="65"/>
      <c r="Z1576" s="65"/>
      <c r="AA1576" s="65"/>
      <c r="AB1576" s="65"/>
      <c r="AC1576" s="65"/>
      <c r="AD1576" s="65"/>
    </row>
    <row r="1577" spans="1:30" s="64" customFormat="1" ht="30" customHeight="1">
      <c r="A1577" s="307"/>
      <c r="B1577" s="293" t="s">
        <v>597</v>
      </c>
      <c r="C1577" s="307">
        <v>1</v>
      </c>
      <c r="D1577" s="307">
        <v>1</v>
      </c>
      <c r="E1577" s="307">
        <v>2</v>
      </c>
      <c r="F1577" s="308">
        <v>9</v>
      </c>
      <c r="G1577" s="307"/>
      <c r="H1577" s="307">
        <v>0.45</v>
      </c>
      <c r="I1577" s="323">
        <f t="shared" si="63"/>
        <v>8.1</v>
      </c>
      <c r="J1577" s="322"/>
      <c r="K1577" s="65"/>
      <c r="L1577" s="65"/>
      <c r="M1577" s="65"/>
      <c r="N1577" s="65">
        <v>3.06</v>
      </c>
      <c r="O1577" s="65">
        <f>1.9+0.46</f>
        <v>2.36</v>
      </c>
      <c r="P1577" s="65">
        <f>N1577+O1577</f>
        <v>5.42</v>
      </c>
      <c r="Q1577" s="65">
        <f>P1577*2</f>
        <v>10.84</v>
      </c>
      <c r="R1577" s="65"/>
      <c r="S1577" s="65"/>
      <c r="T1577" s="65"/>
      <c r="U1577" s="65"/>
      <c r="V1577" s="65"/>
      <c r="W1577" s="65"/>
      <c r="X1577" s="65"/>
      <c r="Y1577" s="65"/>
      <c r="Z1577" s="65"/>
      <c r="AA1577" s="65"/>
      <c r="AB1577" s="65"/>
      <c r="AC1577" s="65"/>
      <c r="AD1577" s="65"/>
    </row>
    <row r="1578" spans="1:30" s="64" customFormat="1" ht="21.75" customHeight="1">
      <c r="A1578" s="307"/>
      <c r="B1578" s="293" t="s">
        <v>596</v>
      </c>
      <c r="C1578" s="307">
        <v>1</v>
      </c>
      <c r="D1578" s="307">
        <v>1</v>
      </c>
      <c r="E1578" s="307">
        <v>2</v>
      </c>
      <c r="F1578" s="307">
        <v>10.84</v>
      </c>
      <c r="G1578" s="307"/>
      <c r="H1578" s="307">
        <v>0.68</v>
      </c>
      <c r="I1578" s="323">
        <f t="shared" si="63"/>
        <v>14.74</v>
      </c>
      <c r="J1578" s="322"/>
      <c r="K1578" s="65"/>
      <c r="L1578" s="65"/>
      <c r="M1578" s="65"/>
      <c r="N1578" s="65">
        <v>2.6</v>
      </c>
      <c r="O1578" s="65">
        <v>1.9</v>
      </c>
      <c r="P1578" s="65">
        <f>N1578+O1578</f>
        <v>4.5</v>
      </c>
      <c r="Q1578" s="75">
        <f>P1578*2</f>
        <v>9</v>
      </c>
      <c r="R1578" s="65"/>
      <c r="S1578" s="65"/>
      <c r="T1578" s="65"/>
      <c r="U1578" s="65"/>
      <c r="V1578" s="65"/>
      <c r="W1578" s="65"/>
      <c r="X1578" s="65"/>
      <c r="Y1578" s="65"/>
      <c r="Z1578" s="65"/>
      <c r="AA1578" s="65"/>
      <c r="AB1578" s="65"/>
      <c r="AC1578" s="65"/>
      <c r="AD1578" s="65"/>
    </row>
    <row r="1579" spans="1:30" s="64" customFormat="1" ht="25.5" customHeight="1">
      <c r="A1579" s="307"/>
      <c r="B1579" s="293" t="s">
        <v>595</v>
      </c>
      <c r="C1579" s="307">
        <v>1</v>
      </c>
      <c r="D1579" s="307">
        <v>1</v>
      </c>
      <c r="E1579" s="307">
        <v>1</v>
      </c>
      <c r="F1579" s="308">
        <v>10.6</v>
      </c>
      <c r="G1579" s="307"/>
      <c r="H1579" s="307">
        <v>0.45</v>
      </c>
      <c r="I1579" s="323">
        <f t="shared" si="63"/>
        <v>4.7699999999999996</v>
      </c>
      <c r="J1579" s="322"/>
      <c r="K1579" s="65"/>
      <c r="L1579" s="65"/>
      <c r="M1579" s="65"/>
      <c r="N1579" s="65">
        <f>2.3+3+2.3+3</f>
        <v>10.6</v>
      </c>
      <c r="O1579" s="65"/>
      <c r="P1579" s="65"/>
      <c r="Q1579" s="65"/>
      <c r="R1579" s="65"/>
      <c r="S1579" s="65"/>
      <c r="T1579" s="65"/>
      <c r="U1579" s="65"/>
      <c r="V1579" s="65"/>
      <c r="W1579" s="65"/>
      <c r="X1579" s="65"/>
      <c r="Y1579" s="65"/>
      <c r="Z1579" s="65"/>
      <c r="AA1579" s="65"/>
      <c r="AB1579" s="65"/>
      <c r="AC1579" s="65"/>
      <c r="AD1579" s="65"/>
    </row>
    <row r="1580" spans="1:30" s="64" customFormat="1" ht="21.75" customHeight="1">
      <c r="A1580" s="307"/>
      <c r="B1580" s="293" t="s">
        <v>594</v>
      </c>
      <c r="C1580" s="307">
        <v>1</v>
      </c>
      <c r="D1580" s="307">
        <v>1</v>
      </c>
      <c r="E1580" s="307">
        <v>1</v>
      </c>
      <c r="F1580" s="307">
        <v>12.44</v>
      </c>
      <c r="G1580" s="307"/>
      <c r="H1580" s="307">
        <v>0.68</v>
      </c>
      <c r="I1580" s="323">
        <f t="shared" si="63"/>
        <v>8.4600000000000009</v>
      </c>
      <c r="J1580" s="322"/>
      <c r="K1580" s="65"/>
      <c r="L1580" s="65"/>
      <c r="M1580" s="65"/>
      <c r="N1580" s="65">
        <f>2.3+0.46</f>
        <v>2.76</v>
      </c>
      <c r="O1580" s="65">
        <f>3+0.46</f>
        <v>3.46</v>
      </c>
      <c r="P1580" s="65">
        <f>N1580+O1580</f>
        <v>6.22</v>
      </c>
      <c r="Q1580" s="65">
        <f>P1580*2</f>
        <v>12.44</v>
      </c>
      <c r="R1580" s="65"/>
      <c r="S1580" s="65"/>
      <c r="T1580" s="65"/>
      <c r="U1580" s="65"/>
      <c r="V1580" s="65"/>
      <c r="W1580" s="65"/>
      <c r="X1580" s="65"/>
      <c r="Y1580" s="65"/>
      <c r="Z1580" s="65"/>
      <c r="AA1580" s="65"/>
      <c r="AB1580" s="65"/>
      <c r="AC1580" s="65"/>
      <c r="AD1580" s="65"/>
    </row>
    <row r="1581" spans="1:30" s="64" customFormat="1" ht="21.75" customHeight="1">
      <c r="A1581" s="307"/>
      <c r="B1581" s="293" t="s">
        <v>593</v>
      </c>
      <c r="C1581" s="307">
        <v>1</v>
      </c>
      <c r="D1581" s="307">
        <v>1</v>
      </c>
      <c r="E1581" s="307">
        <v>1</v>
      </c>
      <c r="F1581" s="317">
        <v>213.64599999999999</v>
      </c>
      <c r="G1581" s="307"/>
      <c r="H1581" s="307">
        <v>1.73</v>
      </c>
      <c r="I1581" s="323">
        <f t="shared" si="63"/>
        <v>369.61</v>
      </c>
      <c r="J1581" s="322"/>
      <c r="K1581" s="65"/>
      <c r="L1581" s="65"/>
      <c r="M1581" s="65"/>
      <c r="N1581" s="83">
        <f>13.405+1.43+1.215+7.695+3.645+3.31+5.639+1.3+0.835+6.53+1.215+1.43+12.19+1.215+1.43+6.53+0.859+1.26+5.639+3.31+3.645+7.695+1.215+1.43+13.405+1.43+1.215+7.695+3.645+3.31+5.639+1.26+0.859+6.53+1.215+1.43+12.19+1.43+1.215+6.53+0.859+2.038+5.089+2.76+3.645+7.695+1.43+1.215</f>
        <v>187.79599999999999</v>
      </c>
      <c r="O1581" s="65"/>
      <c r="P1581" s="65"/>
      <c r="Q1581" s="65"/>
      <c r="R1581" s="65"/>
      <c r="S1581" s="65"/>
      <c r="T1581" s="65"/>
      <c r="U1581" s="65"/>
      <c r="V1581" s="65"/>
      <c r="W1581" s="65"/>
      <c r="X1581" s="65"/>
      <c r="Y1581" s="65"/>
      <c r="Z1581" s="65"/>
      <c r="AA1581" s="65"/>
      <c r="AB1581" s="65"/>
      <c r="AC1581" s="65"/>
      <c r="AD1581" s="65"/>
    </row>
    <row r="1582" spans="1:30" s="64" customFormat="1" ht="19.5" customHeight="1">
      <c r="A1582" s="307"/>
      <c r="B1582" s="293" t="s">
        <v>592</v>
      </c>
      <c r="C1582" s="307">
        <v>1</v>
      </c>
      <c r="D1582" s="307">
        <v>1</v>
      </c>
      <c r="E1582" s="307">
        <v>8</v>
      </c>
      <c r="F1582" s="308">
        <v>11.84</v>
      </c>
      <c r="G1582" s="308"/>
      <c r="H1582" s="308">
        <v>1.73</v>
      </c>
      <c r="I1582" s="323">
        <f t="shared" si="63"/>
        <v>163.87</v>
      </c>
      <c r="J1582" s="322"/>
      <c r="K1582" s="65"/>
      <c r="L1582" s="65"/>
      <c r="M1582" s="65"/>
      <c r="N1582" s="65">
        <f>3.56+2.36+3.56+2.36</f>
        <v>11.84</v>
      </c>
      <c r="O1582" s="65"/>
      <c r="P1582" s="65"/>
      <c r="Q1582" s="65"/>
      <c r="R1582" s="65"/>
      <c r="S1582" s="65"/>
      <c r="T1582" s="65"/>
      <c r="U1582" s="65"/>
      <c r="V1582" s="65"/>
      <c r="W1582" s="65"/>
      <c r="X1582" s="65"/>
      <c r="Y1582" s="65"/>
      <c r="Z1582" s="65"/>
      <c r="AA1582" s="65"/>
      <c r="AB1582" s="65"/>
      <c r="AC1582" s="65"/>
      <c r="AD1582" s="65"/>
    </row>
    <row r="1583" spans="1:30" s="64" customFormat="1" ht="21.75" customHeight="1">
      <c r="A1583" s="307"/>
      <c r="B1583" s="293" t="s">
        <v>591</v>
      </c>
      <c r="C1583" s="307">
        <v>1</v>
      </c>
      <c r="D1583" s="307">
        <v>1</v>
      </c>
      <c r="E1583" s="307">
        <v>8</v>
      </c>
      <c r="F1583" s="308">
        <v>10</v>
      </c>
      <c r="G1583" s="308"/>
      <c r="H1583" s="308">
        <v>1.5</v>
      </c>
      <c r="I1583" s="323">
        <f t="shared" si="63"/>
        <v>120</v>
      </c>
      <c r="J1583" s="322"/>
      <c r="K1583" s="65"/>
      <c r="L1583" s="65"/>
      <c r="M1583" s="65"/>
      <c r="N1583" s="80">
        <f>1.9+3.1+1.9+3.1</f>
        <v>10</v>
      </c>
      <c r="O1583" s="65"/>
      <c r="P1583" s="65"/>
      <c r="Q1583" s="65"/>
      <c r="R1583" s="65"/>
      <c r="S1583" s="65"/>
      <c r="T1583" s="65"/>
      <c r="U1583" s="65"/>
      <c r="V1583" s="65"/>
      <c r="W1583" s="65"/>
      <c r="X1583" s="65"/>
      <c r="Y1583" s="65"/>
      <c r="Z1583" s="65"/>
      <c r="AA1583" s="65"/>
      <c r="AB1583" s="65"/>
      <c r="AC1583" s="65"/>
      <c r="AD1583" s="65"/>
    </row>
    <row r="1584" spans="1:30" s="64" customFormat="1" ht="21.75" customHeight="1">
      <c r="A1584" s="307"/>
      <c r="B1584" s="293" t="s">
        <v>591</v>
      </c>
      <c r="C1584" s="307">
        <v>1</v>
      </c>
      <c r="D1584" s="307">
        <v>1</v>
      </c>
      <c r="E1584" s="307">
        <v>2</v>
      </c>
      <c r="F1584" s="308">
        <v>9.2899999999999991</v>
      </c>
      <c r="G1584" s="308"/>
      <c r="H1584" s="308">
        <v>1.5</v>
      </c>
      <c r="I1584" s="323">
        <f t="shared" si="63"/>
        <v>27.87</v>
      </c>
      <c r="J1584" s="322"/>
      <c r="K1584" s="65"/>
      <c r="L1584" s="65"/>
      <c r="M1584" s="65"/>
      <c r="N1584" s="80">
        <f>3.1+1.9+1.727+0.679+1.879</f>
        <v>9.2899999999999991</v>
      </c>
      <c r="O1584" s="65"/>
      <c r="P1584" s="65"/>
      <c r="Q1584" s="65"/>
      <c r="R1584" s="65"/>
      <c r="S1584" s="65"/>
      <c r="T1584" s="65"/>
      <c r="U1584" s="65"/>
      <c r="V1584" s="65"/>
      <c r="W1584" s="65"/>
      <c r="X1584" s="65"/>
      <c r="Y1584" s="65"/>
      <c r="Z1584" s="65"/>
      <c r="AA1584" s="65"/>
      <c r="AB1584" s="65"/>
      <c r="AC1584" s="65"/>
      <c r="AD1584" s="65"/>
    </row>
    <row r="1585" spans="1:30" s="64" customFormat="1" ht="21.75" customHeight="1">
      <c r="A1585" s="307"/>
      <c r="B1585" s="293" t="s">
        <v>590</v>
      </c>
      <c r="C1585" s="307">
        <v>1</v>
      </c>
      <c r="D1585" s="307">
        <v>1</v>
      </c>
      <c r="E1585" s="307">
        <v>3</v>
      </c>
      <c r="F1585" s="308">
        <v>1.96</v>
      </c>
      <c r="G1585" s="308">
        <v>0.6</v>
      </c>
      <c r="H1585" s="307"/>
      <c r="I1585" s="323">
        <f t="shared" si="63"/>
        <v>3.53</v>
      </c>
      <c r="J1585" s="322"/>
      <c r="K1585" s="65"/>
      <c r="L1585" s="65"/>
      <c r="M1585" s="65"/>
      <c r="N1585" s="65">
        <f>1.5+0.46</f>
        <v>1.96</v>
      </c>
      <c r="O1585" s="65"/>
      <c r="P1585" s="65"/>
      <c r="Q1585" s="65"/>
      <c r="R1585" s="65"/>
      <c r="S1585" s="65"/>
      <c r="T1585" s="65"/>
      <c r="U1585" s="65"/>
      <c r="V1585" s="65"/>
      <c r="W1585" s="65"/>
      <c r="X1585" s="65"/>
      <c r="Y1585" s="65"/>
      <c r="Z1585" s="65"/>
      <c r="AA1585" s="65"/>
      <c r="AB1585" s="65"/>
      <c r="AC1585" s="65"/>
      <c r="AD1585" s="65"/>
    </row>
    <row r="1586" spans="1:30" s="64" customFormat="1" ht="21.75" customHeight="1">
      <c r="A1586" s="307"/>
      <c r="B1586" s="293" t="s">
        <v>210</v>
      </c>
      <c r="C1586" s="307">
        <v>1</v>
      </c>
      <c r="D1586" s="307">
        <v>1</v>
      </c>
      <c r="E1586" s="307">
        <v>3</v>
      </c>
      <c r="F1586" s="308">
        <v>3.16</v>
      </c>
      <c r="G1586" s="308"/>
      <c r="H1586" s="307">
        <v>6.5000000000000002E-2</v>
      </c>
      <c r="I1586" s="323">
        <f t="shared" si="63"/>
        <v>0.62</v>
      </c>
      <c r="J1586" s="322"/>
      <c r="K1586" s="65"/>
      <c r="L1586" s="65"/>
      <c r="M1586" s="65"/>
      <c r="N1586" s="65">
        <f>1.96+0.6+0.6</f>
        <v>3.16</v>
      </c>
      <c r="O1586" s="65">
        <f>0.065</f>
        <v>6.5000000000000002E-2</v>
      </c>
      <c r="P1586" s="65"/>
      <c r="Q1586" s="65"/>
      <c r="R1586" s="65"/>
      <c r="S1586" s="65"/>
      <c r="T1586" s="65"/>
      <c r="U1586" s="65"/>
      <c r="V1586" s="65"/>
      <c r="W1586" s="65"/>
      <c r="X1586" s="65"/>
      <c r="Y1586" s="65"/>
      <c r="Z1586" s="65"/>
      <c r="AA1586" s="65"/>
      <c r="AB1586" s="65"/>
      <c r="AC1586" s="65"/>
      <c r="AD1586" s="65"/>
    </row>
    <row r="1587" spans="1:30" s="64" customFormat="1" ht="21.75" customHeight="1">
      <c r="A1587" s="307"/>
      <c r="B1587" s="293" t="s">
        <v>589</v>
      </c>
      <c r="C1587" s="307">
        <v>1</v>
      </c>
      <c r="D1587" s="307">
        <v>1</v>
      </c>
      <c r="E1587" s="307">
        <v>3</v>
      </c>
      <c r="F1587" s="308">
        <v>2.2599999999999998</v>
      </c>
      <c r="G1587" s="308">
        <v>0.6</v>
      </c>
      <c r="H1587" s="307"/>
      <c r="I1587" s="323">
        <f t="shared" si="63"/>
        <v>4.07</v>
      </c>
      <c r="J1587" s="322"/>
      <c r="K1587" s="65"/>
      <c r="L1587" s="65"/>
      <c r="M1587" s="65"/>
      <c r="N1587" s="65">
        <f>1.8+0.46</f>
        <v>2.2599999999999998</v>
      </c>
      <c r="O1587" s="65"/>
      <c r="P1587" s="65"/>
      <c r="Q1587" s="65"/>
      <c r="R1587" s="65"/>
      <c r="S1587" s="65"/>
      <c r="T1587" s="65"/>
      <c r="U1587" s="65"/>
      <c r="V1587" s="65"/>
      <c r="W1587" s="65"/>
      <c r="X1587" s="65"/>
      <c r="Y1587" s="65"/>
      <c r="Z1587" s="65"/>
      <c r="AA1587" s="65"/>
      <c r="AB1587" s="65"/>
      <c r="AC1587" s="65"/>
      <c r="AD1587" s="65"/>
    </row>
    <row r="1588" spans="1:30" s="64" customFormat="1" ht="21.75" customHeight="1">
      <c r="A1588" s="307"/>
      <c r="B1588" s="293" t="s">
        <v>588</v>
      </c>
      <c r="C1588" s="307">
        <v>1</v>
      </c>
      <c r="D1588" s="307">
        <v>1</v>
      </c>
      <c r="E1588" s="307">
        <v>3</v>
      </c>
      <c r="F1588" s="308">
        <v>3.46</v>
      </c>
      <c r="G1588" s="307"/>
      <c r="H1588" s="307">
        <v>6.5000000000000002E-2</v>
      </c>
      <c r="I1588" s="323">
        <f t="shared" si="63"/>
        <v>0.67</v>
      </c>
      <c r="J1588" s="322"/>
      <c r="K1588" s="65"/>
      <c r="L1588" s="65"/>
      <c r="M1588" s="65"/>
      <c r="N1588" s="65">
        <f>2.26+0.6+0.6</f>
        <v>3.46</v>
      </c>
      <c r="O1588" s="65"/>
      <c r="P1588" s="65"/>
      <c r="Q1588" s="65"/>
      <c r="R1588" s="65"/>
      <c r="S1588" s="65"/>
      <c r="T1588" s="65"/>
      <c r="U1588" s="65"/>
      <c r="V1588" s="65"/>
      <c r="W1588" s="65"/>
      <c r="X1588" s="65"/>
      <c r="Y1588" s="65"/>
      <c r="Z1588" s="65"/>
      <c r="AA1588" s="65"/>
      <c r="AB1588" s="65"/>
      <c r="AC1588" s="65"/>
      <c r="AD1588" s="65"/>
    </row>
    <row r="1589" spans="1:30" s="64" customFormat="1" ht="21.75" customHeight="1">
      <c r="A1589" s="321"/>
      <c r="B1589" s="293" t="s">
        <v>587</v>
      </c>
      <c r="C1589" s="307">
        <v>1</v>
      </c>
      <c r="D1589" s="307">
        <v>2</v>
      </c>
      <c r="E1589" s="307">
        <v>3</v>
      </c>
      <c r="F1589" s="308">
        <v>1.66</v>
      </c>
      <c r="G1589" s="308">
        <v>0.6</v>
      </c>
      <c r="H1589" s="307"/>
      <c r="I1589" s="323">
        <f t="shared" si="63"/>
        <v>5.98</v>
      </c>
      <c r="J1589" s="322"/>
      <c r="K1589" s="65"/>
      <c r="L1589" s="65"/>
      <c r="M1589" s="65"/>
      <c r="N1589" s="65">
        <f>1.2+0.46</f>
        <v>1.66</v>
      </c>
      <c r="O1589" s="65"/>
      <c r="P1589" s="65"/>
      <c r="Q1589" s="65"/>
      <c r="R1589" s="65"/>
      <c r="S1589" s="65"/>
      <c r="T1589" s="65"/>
      <c r="U1589" s="65"/>
      <c r="V1589" s="65"/>
      <c r="W1589" s="65"/>
      <c r="X1589" s="65"/>
      <c r="Y1589" s="65"/>
      <c r="Z1589" s="65"/>
      <c r="AA1589" s="65"/>
      <c r="AB1589" s="65"/>
      <c r="AC1589" s="65"/>
      <c r="AD1589" s="65"/>
    </row>
    <row r="1590" spans="1:30" s="64" customFormat="1" ht="21.75" customHeight="1">
      <c r="A1590" s="321"/>
      <c r="B1590" s="293" t="s">
        <v>586</v>
      </c>
      <c r="C1590" s="307">
        <v>1</v>
      </c>
      <c r="D1590" s="307">
        <v>2</v>
      </c>
      <c r="E1590" s="307">
        <v>3</v>
      </c>
      <c r="F1590" s="308">
        <v>2.86</v>
      </c>
      <c r="G1590" s="307"/>
      <c r="H1590" s="307">
        <v>6.5000000000000002E-2</v>
      </c>
      <c r="I1590" s="323">
        <f t="shared" si="63"/>
        <v>1.1200000000000001</v>
      </c>
      <c r="J1590" s="322"/>
      <c r="K1590" s="65"/>
      <c r="L1590" s="65"/>
      <c r="M1590" s="65"/>
      <c r="N1590" s="65">
        <f>1.66+0.6+0.6</f>
        <v>2.86</v>
      </c>
      <c r="O1590" s="65"/>
      <c r="P1590" s="65"/>
      <c r="Q1590" s="65"/>
      <c r="R1590" s="65"/>
      <c r="S1590" s="65"/>
      <c r="T1590" s="65"/>
      <c r="U1590" s="65"/>
      <c r="V1590" s="65"/>
      <c r="W1590" s="65"/>
      <c r="X1590" s="65"/>
      <c r="Y1590" s="65"/>
      <c r="Z1590" s="65"/>
      <c r="AA1590" s="65"/>
      <c r="AB1590" s="65"/>
      <c r="AC1590" s="65"/>
      <c r="AD1590" s="65"/>
    </row>
    <row r="1591" spans="1:30" s="66" customFormat="1" ht="25.5" customHeight="1">
      <c r="A1591" s="294"/>
      <c r="B1591" s="320" t="s">
        <v>228</v>
      </c>
      <c r="C1591" s="294"/>
      <c r="D1591" s="294"/>
      <c r="E1591" s="294"/>
      <c r="F1591" s="300"/>
      <c r="G1591" s="294"/>
      <c r="H1591" s="300"/>
      <c r="I1591" s="298"/>
      <c r="J1591" s="303"/>
      <c r="K1591" s="67"/>
      <c r="L1591" s="67"/>
      <c r="M1591" s="67"/>
      <c r="N1591" s="67"/>
      <c r="O1591" s="67"/>
      <c r="P1591" s="67"/>
      <c r="Q1591" s="67"/>
      <c r="R1591" s="67"/>
      <c r="S1591" s="67"/>
      <c r="T1591" s="67"/>
      <c r="U1591" s="67"/>
      <c r="V1591" s="67"/>
      <c r="W1591" s="67"/>
      <c r="X1591" s="67"/>
      <c r="Y1591" s="67"/>
      <c r="Z1591" s="67"/>
      <c r="AA1591" s="67"/>
      <c r="AB1591" s="67"/>
      <c r="AC1591" s="67"/>
      <c r="AD1591" s="67"/>
    </row>
    <row r="1592" spans="1:30" s="78" customFormat="1" ht="25.5" customHeight="1">
      <c r="A1592" s="294"/>
      <c r="B1592" s="302" t="s">
        <v>227</v>
      </c>
      <c r="C1592" s="294">
        <v>11</v>
      </c>
      <c r="D1592" s="294">
        <v>5</v>
      </c>
      <c r="E1592" s="294">
        <v>2</v>
      </c>
      <c r="F1592" s="300">
        <v>2.645</v>
      </c>
      <c r="G1592" s="295">
        <v>0.3</v>
      </c>
      <c r="H1592" s="300"/>
      <c r="I1592" s="298">
        <f t="shared" ref="I1592:I1597" si="64">PRODUCT(C1592:H1592)</f>
        <v>87.29</v>
      </c>
      <c r="J1592" s="303"/>
      <c r="K1592" s="79"/>
      <c r="L1592" s="79"/>
      <c r="M1592" s="79"/>
      <c r="N1592" s="79">
        <f>1.215+1.43</f>
        <v>2.645</v>
      </c>
      <c r="O1592" s="79"/>
      <c r="P1592" s="79"/>
      <c r="Q1592" s="79"/>
      <c r="R1592" s="79"/>
      <c r="S1592" s="79"/>
      <c r="T1592" s="79"/>
      <c r="U1592" s="79"/>
      <c r="V1592" s="79"/>
      <c r="W1592" s="79"/>
      <c r="X1592" s="79"/>
      <c r="Y1592" s="79"/>
      <c r="Z1592" s="79"/>
      <c r="AA1592" s="79"/>
      <c r="AB1592" s="79"/>
      <c r="AC1592" s="79"/>
      <c r="AD1592" s="79"/>
    </row>
    <row r="1593" spans="1:30" s="78" customFormat="1" ht="25.5" customHeight="1">
      <c r="A1593" s="294"/>
      <c r="B1593" s="302" t="s">
        <v>226</v>
      </c>
      <c r="C1593" s="294">
        <v>11</v>
      </c>
      <c r="D1593" s="294">
        <v>5</v>
      </c>
      <c r="E1593" s="294">
        <v>2</v>
      </c>
      <c r="F1593" s="300">
        <v>2.645</v>
      </c>
      <c r="G1593" s="294">
        <v>0.115</v>
      </c>
      <c r="H1593" s="300"/>
      <c r="I1593" s="298">
        <f t="shared" si="64"/>
        <v>33.46</v>
      </c>
      <c r="J1593" s="303"/>
      <c r="K1593" s="79"/>
      <c r="L1593" s="79"/>
      <c r="M1593" s="79"/>
      <c r="N1593" s="79"/>
      <c r="O1593" s="79"/>
      <c r="P1593" s="79"/>
      <c r="Q1593" s="79"/>
      <c r="R1593" s="79"/>
      <c r="S1593" s="79"/>
      <c r="T1593" s="79"/>
      <c r="U1593" s="79"/>
      <c r="V1593" s="79"/>
      <c r="W1593" s="79"/>
      <c r="X1593" s="79"/>
      <c r="Y1593" s="79"/>
      <c r="Z1593" s="79"/>
      <c r="AA1593" s="79"/>
      <c r="AB1593" s="79"/>
      <c r="AC1593" s="79"/>
      <c r="AD1593" s="79"/>
    </row>
    <row r="1594" spans="1:30" s="78" customFormat="1" ht="25.5" customHeight="1">
      <c r="A1594" s="294"/>
      <c r="B1594" s="302" t="s">
        <v>225</v>
      </c>
      <c r="C1594" s="294">
        <v>11</v>
      </c>
      <c r="D1594" s="294">
        <v>5</v>
      </c>
      <c r="E1594" s="294">
        <v>2</v>
      </c>
      <c r="F1594" s="300">
        <v>2.1789999999999998</v>
      </c>
      <c r="G1594" s="295">
        <v>0.3</v>
      </c>
      <c r="H1594" s="300"/>
      <c r="I1594" s="298">
        <f t="shared" si="64"/>
        <v>71.91</v>
      </c>
      <c r="J1594" s="303"/>
      <c r="K1594" s="79"/>
      <c r="L1594" s="79"/>
      <c r="M1594" s="79"/>
      <c r="N1594" s="79">
        <f>1.194+0.985</f>
        <v>2.1789999999999998</v>
      </c>
      <c r="O1594" s="79"/>
      <c r="P1594" s="79"/>
      <c r="Q1594" s="79"/>
      <c r="R1594" s="79"/>
      <c r="S1594" s="79"/>
      <c r="T1594" s="79"/>
      <c r="U1594" s="79"/>
      <c r="V1594" s="79"/>
      <c r="W1594" s="79"/>
      <c r="X1594" s="79"/>
      <c r="Y1594" s="79"/>
      <c r="Z1594" s="79"/>
      <c r="AA1594" s="79"/>
      <c r="AB1594" s="79"/>
      <c r="AC1594" s="79"/>
      <c r="AD1594" s="79"/>
    </row>
    <row r="1595" spans="1:30" s="78" customFormat="1" ht="25.5" customHeight="1">
      <c r="A1595" s="294"/>
      <c r="B1595" s="302" t="s">
        <v>224</v>
      </c>
      <c r="C1595" s="294">
        <v>11</v>
      </c>
      <c r="D1595" s="294">
        <v>5</v>
      </c>
      <c r="E1595" s="294">
        <v>2</v>
      </c>
      <c r="F1595" s="295">
        <v>2.63</v>
      </c>
      <c r="G1595" s="295">
        <v>0.6</v>
      </c>
      <c r="H1595" s="300"/>
      <c r="I1595" s="298">
        <f t="shared" si="64"/>
        <v>173.58</v>
      </c>
      <c r="J1595" s="303"/>
      <c r="K1595" s="79"/>
      <c r="L1595" s="79"/>
      <c r="M1595" s="79"/>
      <c r="N1595" s="79">
        <f>1.2+0.715+0.715</f>
        <v>2.63</v>
      </c>
      <c r="O1595" s="79"/>
      <c r="P1595" s="79"/>
      <c r="Q1595" s="79"/>
      <c r="R1595" s="79"/>
      <c r="S1595" s="79"/>
      <c r="T1595" s="79"/>
      <c r="U1595" s="79"/>
      <c r="V1595" s="79"/>
      <c r="W1595" s="79"/>
      <c r="X1595" s="79"/>
      <c r="Y1595" s="79"/>
      <c r="Z1595" s="79"/>
      <c r="AA1595" s="79"/>
      <c r="AB1595" s="79"/>
      <c r="AC1595" s="79"/>
      <c r="AD1595" s="79"/>
    </row>
    <row r="1596" spans="1:30" s="78" customFormat="1" ht="25.5" customHeight="1">
      <c r="A1596" s="294"/>
      <c r="B1596" s="302" t="s">
        <v>223</v>
      </c>
      <c r="C1596" s="294">
        <v>11</v>
      </c>
      <c r="D1596" s="294">
        <v>5</v>
      </c>
      <c r="E1596" s="294">
        <v>2</v>
      </c>
      <c r="F1596" s="295">
        <v>2.63</v>
      </c>
      <c r="G1596" s="294">
        <v>0.115</v>
      </c>
      <c r="H1596" s="300"/>
      <c r="I1596" s="298">
        <f t="shared" si="64"/>
        <v>33.270000000000003</v>
      </c>
      <c r="J1596" s="303"/>
      <c r="K1596" s="79"/>
      <c r="L1596" s="79"/>
      <c r="M1596" s="79"/>
      <c r="N1596" s="79"/>
      <c r="O1596" s="79"/>
      <c r="P1596" s="79"/>
      <c r="Q1596" s="79"/>
      <c r="R1596" s="79"/>
      <c r="S1596" s="79"/>
      <c r="T1596" s="79"/>
      <c r="U1596" s="79"/>
      <c r="V1596" s="79"/>
      <c r="W1596" s="79"/>
      <c r="X1596" s="79"/>
      <c r="Y1596" s="79"/>
      <c r="Z1596" s="79"/>
      <c r="AA1596" s="79"/>
      <c r="AB1596" s="79"/>
      <c r="AC1596" s="79"/>
      <c r="AD1596" s="79"/>
    </row>
    <row r="1597" spans="1:30" s="78" customFormat="1" ht="25.5" customHeight="1">
      <c r="A1597" s="294"/>
      <c r="B1597" s="302" t="s">
        <v>222</v>
      </c>
      <c r="C1597" s="294">
        <v>11</v>
      </c>
      <c r="D1597" s="294">
        <v>5</v>
      </c>
      <c r="E1597" s="294">
        <v>2</v>
      </c>
      <c r="F1597" s="295">
        <v>2.4</v>
      </c>
      <c r="G1597" s="295">
        <v>0.3</v>
      </c>
      <c r="H1597" s="300"/>
      <c r="I1597" s="298">
        <f t="shared" si="64"/>
        <v>79.2</v>
      </c>
      <c r="J1597" s="303"/>
      <c r="K1597" s="79"/>
      <c r="L1597" s="79"/>
      <c r="M1597" s="79"/>
      <c r="N1597" s="79">
        <f>1.2+0.6+0.6</f>
        <v>2.4</v>
      </c>
      <c r="O1597" s="79"/>
      <c r="P1597" s="79"/>
      <c r="Q1597" s="79"/>
      <c r="R1597" s="79"/>
      <c r="S1597" s="79"/>
      <c r="T1597" s="79"/>
      <c r="U1597" s="79"/>
      <c r="V1597" s="79"/>
      <c r="W1597" s="79"/>
      <c r="X1597" s="79"/>
      <c r="Y1597" s="79"/>
      <c r="Z1597" s="79"/>
      <c r="AA1597" s="79"/>
      <c r="AB1597" s="79"/>
      <c r="AC1597" s="79"/>
      <c r="AD1597" s="79"/>
    </row>
    <row r="1598" spans="1:30" s="66" customFormat="1" ht="25.5" customHeight="1">
      <c r="A1598" s="289"/>
      <c r="B1598" s="324" t="s">
        <v>104</v>
      </c>
      <c r="C1598" s="289"/>
      <c r="D1598" s="294"/>
      <c r="E1598" s="294"/>
      <c r="F1598" s="300"/>
      <c r="G1598" s="294"/>
      <c r="H1598" s="300"/>
      <c r="I1598" s="291"/>
      <c r="J1598" s="303"/>
      <c r="K1598" s="67"/>
      <c r="L1598" s="67"/>
      <c r="M1598" s="67"/>
      <c r="N1598" s="67"/>
      <c r="O1598" s="67"/>
      <c r="P1598" s="67"/>
      <c r="Q1598" s="67"/>
      <c r="R1598" s="67"/>
      <c r="S1598" s="67"/>
      <c r="T1598" s="67"/>
      <c r="U1598" s="67"/>
      <c r="V1598" s="67"/>
      <c r="W1598" s="67"/>
      <c r="X1598" s="67"/>
      <c r="Y1598" s="67"/>
      <c r="Z1598" s="67"/>
      <c r="AA1598" s="67"/>
      <c r="AB1598" s="67"/>
      <c r="AC1598" s="67"/>
      <c r="AD1598" s="67"/>
    </row>
    <row r="1599" spans="1:30" s="66" customFormat="1" ht="25.5" customHeight="1">
      <c r="A1599" s="294"/>
      <c r="B1599" s="302" t="s">
        <v>872</v>
      </c>
      <c r="C1599" s="294">
        <v>1</v>
      </c>
      <c r="D1599" s="294">
        <v>8</v>
      </c>
      <c r="E1599" s="294">
        <v>1</v>
      </c>
      <c r="F1599" s="295">
        <v>10</v>
      </c>
      <c r="G1599" s="294"/>
      <c r="H1599" s="295">
        <v>35.049999999999997</v>
      </c>
      <c r="I1599" s="298">
        <f t="shared" ref="I1599:I1612" si="65">PRODUCT(C1599:H1599)</f>
        <v>2804</v>
      </c>
      <c r="J1599" s="303"/>
      <c r="K1599" s="67"/>
      <c r="L1599" s="67"/>
      <c r="M1599" s="67"/>
      <c r="N1599" s="70">
        <f>1.9+3.1+1.9+3.1</f>
        <v>10</v>
      </c>
      <c r="O1599" s="67">
        <f>15*2.85</f>
        <v>42.75</v>
      </c>
      <c r="P1599" s="67">
        <f>O1599+1.5</f>
        <v>44.25</v>
      </c>
      <c r="Q1599" s="67"/>
      <c r="R1599" s="67"/>
      <c r="S1599" s="67"/>
      <c r="T1599" s="67"/>
      <c r="U1599" s="67"/>
      <c r="V1599" s="67"/>
      <c r="W1599" s="67"/>
      <c r="X1599" s="67"/>
      <c r="Y1599" s="67"/>
      <c r="Z1599" s="67"/>
      <c r="AA1599" s="67"/>
      <c r="AB1599" s="67"/>
      <c r="AC1599" s="67"/>
      <c r="AD1599" s="67"/>
    </row>
    <row r="1600" spans="1:30" s="66" customFormat="1" ht="25.5" customHeight="1">
      <c r="A1600" s="294"/>
      <c r="B1600" s="302" t="s">
        <v>873</v>
      </c>
      <c r="C1600" s="294">
        <v>1</v>
      </c>
      <c r="D1600" s="294">
        <v>2</v>
      </c>
      <c r="E1600" s="294">
        <v>1</v>
      </c>
      <c r="F1600" s="295">
        <v>8.8000000000000007</v>
      </c>
      <c r="G1600" s="294"/>
      <c r="H1600" s="295">
        <v>35.049999999999997</v>
      </c>
      <c r="I1600" s="298">
        <f>PRODUCT(C1600:H1600)</f>
        <v>616.88</v>
      </c>
      <c r="J1600" s="303"/>
      <c r="K1600" s="67"/>
      <c r="L1600" s="67"/>
      <c r="M1600" s="67"/>
      <c r="N1600" s="70"/>
      <c r="O1600" s="67"/>
      <c r="P1600" s="67"/>
      <c r="Q1600" s="67"/>
      <c r="R1600" s="67"/>
      <c r="S1600" s="67"/>
      <c r="T1600" s="67"/>
      <c r="U1600" s="67"/>
      <c r="V1600" s="67"/>
      <c r="W1600" s="67"/>
      <c r="X1600" s="67"/>
      <c r="Y1600" s="67"/>
      <c r="Z1600" s="67"/>
      <c r="AA1600" s="67"/>
      <c r="AB1600" s="67"/>
      <c r="AC1600" s="67"/>
      <c r="AD1600" s="67"/>
    </row>
    <row r="1601" spans="1:30" s="66" customFormat="1" ht="25.5" customHeight="1">
      <c r="A1601" s="294"/>
      <c r="B1601" s="302" t="s">
        <v>221</v>
      </c>
      <c r="C1601" s="294">
        <v>-10</v>
      </c>
      <c r="D1601" s="294">
        <v>5</v>
      </c>
      <c r="E1601" s="294">
        <v>1</v>
      </c>
      <c r="F1601" s="295">
        <v>1.5</v>
      </c>
      <c r="G1601" s="295"/>
      <c r="H1601" s="295">
        <v>1.8</v>
      </c>
      <c r="I1601" s="298">
        <f t="shared" si="65"/>
        <v>-135</v>
      </c>
      <c r="J1601" s="303"/>
      <c r="K1601" s="67"/>
      <c r="L1601" s="67"/>
      <c r="M1601" s="67"/>
      <c r="N1601" s="67">
        <f>14*4</f>
        <v>56</v>
      </c>
      <c r="O1601" s="67"/>
      <c r="P1601" s="67"/>
      <c r="Q1601" s="67"/>
      <c r="R1601" s="67"/>
      <c r="S1601" s="67"/>
      <c r="T1601" s="67"/>
      <c r="U1601" s="67"/>
      <c r="V1601" s="67"/>
      <c r="W1601" s="67"/>
      <c r="X1601" s="67"/>
      <c r="Y1601" s="67"/>
      <c r="Z1601" s="67"/>
      <c r="AA1601" s="67"/>
      <c r="AB1601" s="67"/>
      <c r="AC1601" s="67"/>
      <c r="AD1601" s="67"/>
    </row>
    <row r="1602" spans="1:30" s="66" customFormat="1" ht="28.5" customHeight="1">
      <c r="A1602" s="294"/>
      <c r="B1602" s="302" t="s">
        <v>220</v>
      </c>
      <c r="C1602" s="294">
        <v>-1</v>
      </c>
      <c r="D1602" s="294">
        <v>5</v>
      </c>
      <c r="E1602" s="294">
        <v>2</v>
      </c>
      <c r="F1602" s="295">
        <v>3.1</v>
      </c>
      <c r="G1602" s="294"/>
      <c r="H1602" s="295">
        <v>1.85</v>
      </c>
      <c r="I1602" s="298">
        <f t="shared" si="65"/>
        <v>-57.35</v>
      </c>
      <c r="J1602" s="303"/>
      <c r="K1602" s="67"/>
      <c r="L1602" s="67"/>
      <c r="M1602" s="67"/>
      <c r="N1602" s="67">
        <f>2.85-0.4-0.6</f>
        <v>1.85</v>
      </c>
      <c r="O1602" s="67"/>
      <c r="P1602" s="67"/>
      <c r="Q1602" s="67"/>
      <c r="R1602" s="67"/>
      <c r="S1602" s="67"/>
      <c r="T1602" s="67"/>
      <c r="U1602" s="67"/>
      <c r="V1602" s="67"/>
      <c r="W1602" s="67"/>
      <c r="X1602" s="67"/>
      <c r="Y1602" s="67"/>
      <c r="Z1602" s="67"/>
      <c r="AA1602" s="67"/>
      <c r="AB1602" s="67"/>
      <c r="AC1602" s="67"/>
      <c r="AD1602" s="67"/>
    </row>
    <row r="1603" spans="1:30" s="66" customFormat="1" ht="28.5" customHeight="1">
      <c r="A1603" s="294"/>
      <c r="B1603" s="302" t="s">
        <v>220</v>
      </c>
      <c r="C1603" s="294">
        <v>-1</v>
      </c>
      <c r="D1603" s="294">
        <v>5</v>
      </c>
      <c r="E1603" s="294">
        <v>2</v>
      </c>
      <c r="F1603" s="295">
        <v>1.9</v>
      </c>
      <c r="G1603" s="294"/>
      <c r="H1603" s="295">
        <v>1.85</v>
      </c>
      <c r="I1603" s="298">
        <f t="shared" si="65"/>
        <v>-35.15</v>
      </c>
      <c r="J1603" s="303"/>
      <c r="K1603" s="67"/>
      <c r="L1603" s="67"/>
      <c r="M1603" s="67"/>
      <c r="N1603" s="67">
        <f>2.85-0.4-0.6</f>
        <v>1.85</v>
      </c>
      <c r="O1603" s="67"/>
      <c r="P1603" s="67"/>
      <c r="Q1603" s="67"/>
      <c r="R1603" s="67"/>
      <c r="S1603" s="67"/>
      <c r="T1603" s="67"/>
      <c r="U1603" s="67"/>
      <c r="V1603" s="67"/>
      <c r="W1603" s="67"/>
      <c r="X1603" s="67"/>
      <c r="Y1603" s="67"/>
      <c r="Z1603" s="67"/>
      <c r="AA1603" s="67"/>
      <c r="AB1603" s="67"/>
      <c r="AC1603" s="67"/>
      <c r="AD1603" s="67"/>
    </row>
    <row r="1604" spans="1:30" s="66" customFormat="1" ht="37.5" customHeight="1">
      <c r="A1604" s="294"/>
      <c r="B1604" s="302" t="s">
        <v>219</v>
      </c>
      <c r="C1604" s="294">
        <v>-10</v>
      </c>
      <c r="D1604" s="294">
        <v>2</v>
      </c>
      <c r="E1604" s="294">
        <v>2</v>
      </c>
      <c r="F1604" s="295">
        <v>3.1</v>
      </c>
      <c r="G1604" s="294"/>
      <c r="H1604" s="295">
        <v>0.95</v>
      </c>
      <c r="I1604" s="298">
        <f t="shared" si="65"/>
        <v>-117.8</v>
      </c>
      <c r="J1604" s="303"/>
      <c r="K1604" s="67"/>
      <c r="L1604" s="67"/>
      <c r="M1604" s="67"/>
      <c r="N1604" s="67">
        <f>2.85-0.4-0.6</f>
        <v>1.85</v>
      </c>
      <c r="O1604" s="67">
        <f>2.85-0.4-1.5</f>
        <v>0.95</v>
      </c>
      <c r="P1604" s="67"/>
      <c r="Q1604" s="67"/>
      <c r="R1604" s="67"/>
      <c r="S1604" s="67"/>
      <c r="T1604" s="67"/>
      <c r="U1604" s="67"/>
      <c r="V1604" s="67"/>
      <c r="W1604" s="67"/>
      <c r="X1604" s="67"/>
      <c r="Y1604" s="67"/>
      <c r="Z1604" s="67"/>
      <c r="AA1604" s="67"/>
      <c r="AB1604" s="67"/>
      <c r="AC1604" s="67"/>
      <c r="AD1604" s="67"/>
    </row>
    <row r="1605" spans="1:30" s="66" customFormat="1" ht="37.5" customHeight="1">
      <c r="A1605" s="294"/>
      <c r="B1605" s="302" t="s">
        <v>219</v>
      </c>
      <c r="C1605" s="294">
        <v>-10</v>
      </c>
      <c r="D1605" s="294">
        <v>2</v>
      </c>
      <c r="E1605" s="294">
        <v>2</v>
      </c>
      <c r="F1605" s="295">
        <v>1.9</v>
      </c>
      <c r="G1605" s="294"/>
      <c r="H1605" s="295">
        <v>0.95</v>
      </c>
      <c r="I1605" s="298">
        <f t="shared" si="65"/>
        <v>-72.2</v>
      </c>
      <c r="J1605" s="303"/>
      <c r="K1605" s="67"/>
      <c r="L1605" s="67"/>
      <c r="M1605" s="67"/>
      <c r="N1605" s="67">
        <f>2.85-0.4-0.6</f>
        <v>1.85</v>
      </c>
      <c r="O1605" s="67">
        <f>2.85-0.4-1.5</f>
        <v>0.95</v>
      </c>
      <c r="P1605" s="67"/>
      <c r="Q1605" s="67"/>
      <c r="R1605" s="67"/>
      <c r="S1605" s="67"/>
      <c r="T1605" s="67"/>
      <c r="U1605" s="67"/>
      <c r="V1605" s="67"/>
      <c r="W1605" s="67"/>
      <c r="X1605" s="67"/>
      <c r="Y1605" s="67"/>
      <c r="Z1605" s="67"/>
      <c r="AA1605" s="67"/>
      <c r="AB1605" s="67"/>
      <c r="AC1605" s="67"/>
      <c r="AD1605" s="67"/>
    </row>
    <row r="1606" spans="1:30" s="66" customFormat="1" ht="25.5" customHeight="1">
      <c r="A1606" s="294"/>
      <c r="B1606" s="302" t="s">
        <v>221</v>
      </c>
      <c r="C1606" s="294">
        <v>-10</v>
      </c>
      <c r="D1606" s="294">
        <v>5</v>
      </c>
      <c r="E1606" s="294">
        <v>1</v>
      </c>
      <c r="F1606" s="295">
        <v>1.5</v>
      </c>
      <c r="G1606" s="295"/>
      <c r="H1606" s="295">
        <v>1.8</v>
      </c>
      <c r="I1606" s="298">
        <f t="shared" si="65"/>
        <v>-135</v>
      </c>
      <c r="J1606" s="303"/>
      <c r="K1606" s="67"/>
      <c r="L1606" s="67"/>
      <c r="M1606" s="67"/>
      <c r="N1606" s="67">
        <f>14*4</f>
        <v>56</v>
      </c>
      <c r="O1606" s="67"/>
      <c r="P1606" s="67"/>
      <c r="Q1606" s="67"/>
      <c r="R1606" s="67"/>
      <c r="S1606" s="67"/>
      <c r="T1606" s="67"/>
      <c r="U1606" s="67"/>
      <c r="V1606" s="67"/>
      <c r="W1606" s="67"/>
      <c r="X1606" s="67"/>
      <c r="Y1606" s="67"/>
      <c r="Z1606" s="67"/>
      <c r="AA1606" s="67"/>
      <c r="AB1606" s="67"/>
      <c r="AC1606" s="67"/>
      <c r="AD1606" s="67"/>
    </row>
    <row r="1607" spans="1:30" s="66" customFormat="1" ht="28.5" customHeight="1">
      <c r="A1607" s="294"/>
      <c r="B1607" s="302" t="s">
        <v>220</v>
      </c>
      <c r="C1607" s="294">
        <v>-1</v>
      </c>
      <c r="D1607" s="294">
        <v>2</v>
      </c>
      <c r="E1607" s="294">
        <v>2</v>
      </c>
      <c r="F1607" s="295">
        <v>4.25</v>
      </c>
      <c r="G1607" s="294"/>
      <c r="H1607" s="295">
        <v>1.85</v>
      </c>
      <c r="I1607" s="298">
        <f t="shared" si="65"/>
        <v>-31.45</v>
      </c>
      <c r="J1607" s="303"/>
      <c r="K1607" s="67"/>
      <c r="L1607" s="67"/>
      <c r="M1607" s="67"/>
      <c r="N1607" s="67">
        <f>2.85-0.4-0.6</f>
        <v>1.85</v>
      </c>
      <c r="O1607" s="67"/>
      <c r="P1607" s="67"/>
      <c r="Q1607" s="67"/>
      <c r="R1607" s="67"/>
      <c r="S1607" s="67"/>
      <c r="T1607" s="67"/>
      <c r="U1607" s="67"/>
      <c r="V1607" s="67"/>
      <c r="W1607" s="67"/>
      <c r="X1607" s="67"/>
      <c r="Y1607" s="67"/>
      <c r="Z1607" s="67"/>
      <c r="AA1607" s="67"/>
      <c r="AB1607" s="67"/>
      <c r="AC1607" s="67"/>
      <c r="AD1607" s="67"/>
    </row>
    <row r="1608" spans="1:30" s="66" customFormat="1" ht="37.5" customHeight="1">
      <c r="A1608" s="294"/>
      <c r="B1608" s="302" t="s">
        <v>219</v>
      </c>
      <c r="C1608" s="294">
        <v>-10</v>
      </c>
      <c r="D1608" s="294">
        <v>2</v>
      </c>
      <c r="E1608" s="294">
        <v>2</v>
      </c>
      <c r="F1608" s="295">
        <v>4.25</v>
      </c>
      <c r="G1608" s="294"/>
      <c r="H1608" s="295">
        <v>0.95</v>
      </c>
      <c r="I1608" s="298">
        <f t="shared" si="65"/>
        <v>-161.5</v>
      </c>
      <c r="J1608" s="303"/>
      <c r="K1608" s="67"/>
      <c r="L1608" s="67"/>
      <c r="M1608" s="67"/>
      <c r="N1608" s="67">
        <f>2.85-0.4-0.6</f>
        <v>1.85</v>
      </c>
      <c r="O1608" s="67">
        <f>2.85-0.4-1.5</f>
        <v>0.95</v>
      </c>
      <c r="P1608" s="67"/>
      <c r="Q1608" s="67"/>
      <c r="R1608" s="67"/>
      <c r="S1608" s="67"/>
      <c r="T1608" s="67"/>
      <c r="U1608" s="67"/>
      <c r="V1608" s="67"/>
      <c r="W1608" s="67"/>
      <c r="X1608" s="67"/>
      <c r="Y1608" s="67"/>
      <c r="Z1608" s="67"/>
      <c r="AA1608" s="67"/>
      <c r="AB1608" s="67"/>
      <c r="AC1608" s="67"/>
      <c r="AD1608" s="67"/>
    </row>
    <row r="1609" spans="1:30" s="66" customFormat="1" ht="23.25" customHeight="1">
      <c r="A1609" s="294"/>
      <c r="B1609" s="302" t="s">
        <v>585</v>
      </c>
      <c r="C1609" s="294">
        <v>1</v>
      </c>
      <c r="D1609" s="294">
        <v>1</v>
      </c>
      <c r="E1609" s="294">
        <v>2</v>
      </c>
      <c r="F1609" s="295">
        <v>3.9</v>
      </c>
      <c r="G1609" s="294"/>
      <c r="H1609" s="295">
        <v>42.75</v>
      </c>
      <c r="I1609" s="298">
        <f t="shared" si="65"/>
        <v>333.45</v>
      </c>
      <c r="J1609" s="303"/>
      <c r="K1609" s="67"/>
      <c r="L1609" s="67"/>
      <c r="M1609" s="67"/>
      <c r="N1609" s="67">
        <f>15*2.85</f>
        <v>42.75</v>
      </c>
      <c r="O1609" s="67">
        <f>0.8+1.15+0.8+1.15</f>
        <v>3.9</v>
      </c>
      <c r="P1609" s="67"/>
      <c r="Q1609" s="67"/>
      <c r="R1609" s="67"/>
      <c r="S1609" s="67"/>
      <c r="T1609" s="67"/>
      <c r="U1609" s="67"/>
      <c r="V1609" s="67"/>
      <c r="W1609" s="67"/>
      <c r="X1609" s="67"/>
      <c r="Y1609" s="67"/>
      <c r="Z1609" s="67"/>
      <c r="AA1609" s="67"/>
      <c r="AB1609" s="67"/>
      <c r="AC1609" s="67"/>
      <c r="AD1609" s="67"/>
    </row>
    <row r="1610" spans="1:30" s="66" customFormat="1" ht="23.25" customHeight="1">
      <c r="A1610" s="294"/>
      <c r="B1610" s="302" t="s">
        <v>584</v>
      </c>
      <c r="C1610" s="294">
        <v>-10</v>
      </c>
      <c r="D1610" s="294">
        <v>1</v>
      </c>
      <c r="E1610" s="294">
        <v>2</v>
      </c>
      <c r="F1610" s="295">
        <v>0.75</v>
      </c>
      <c r="G1610" s="294"/>
      <c r="H1610" s="295">
        <v>0.6</v>
      </c>
      <c r="I1610" s="298">
        <f t="shared" si="65"/>
        <v>-9</v>
      </c>
      <c r="J1610" s="303"/>
      <c r="K1610" s="67"/>
      <c r="L1610" s="67"/>
      <c r="M1610" s="67"/>
      <c r="N1610" s="67"/>
      <c r="O1610" s="67"/>
      <c r="P1610" s="67"/>
      <c r="Q1610" s="67"/>
      <c r="R1610" s="67"/>
      <c r="S1610" s="67"/>
      <c r="T1610" s="67"/>
      <c r="U1610" s="67"/>
      <c r="V1610" s="67"/>
      <c r="W1610" s="67"/>
      <c r="X1610" s="67"/>
      <c r="Y1610" s="67"/>
      <c r="Z1610" s="67"/>
      <c r="AA1610" s="67"/>
      <c r="AB1610" s="67"/>
      <c r="AC1610" s="67"/>
      <c r="AD1610" s="67"/>
    </row>
    <row r="1611" spans="1:30" s="66" customFormat="1" ht="23.25" customHeight="1">
      <c r="A1611" s="294"/>
      <c r="B1611" s="302" t="s">
        <v>583</v>
      </c>
      <c r="C1611" s="294">
        <v>1</v>
      </c>
      <c r="D1611" s="294">
        <v>1</v>
      </c>
      <c r="E1611" s="294">
        <v>2</v>
      </c>
      <c r="F1611" s="295">
        <v>5.67</v>
      </c>
      <c r="G1611" s="294"/>
      <c r="H1611" s="295">
        <v>42.75</v>
      </c>
      <c r="I1611" s="298">
        <f t="shared" si="65"/>
        <v>484.79</v>
      </c>
      <c r="J1611" s="303"/>
      <c r="K1611" s="67"/>
      <c r="L1611" s="67"/>
      <c r="M1611" s="67"/>
      <c r="N1611" s="131">
        <f>1.685+1.15+1.685+1.15</f>
        <v>5.67</v>
      </c>
      <c r="O1611" s="67"/>
      <c r="P1611" s="67"/>
      <c r="Q1611" s="67"/>
      <c r="R1611" s="67"/>
      <c r="S1611" s="67"/>
      <c r="T1611" s="67"/>
      <c r="U1611" s="67"/>
      <c r="V1611" s="67"/>
      <c r="W1611" s="67"/>
      <c r="X1611" s="67"/>
      <c r="Y1611" s="67"/>
      <c r="Z1611" s="67"/>
      <c r="AA1611" s="67"/>
      <c r="AB1611" s="67"/>
      <c r="AC1611" s="67"/>
      <c r="AD1611" s="67"/>
    </row>
    <row r="1612" spans="1:30" s="66" customFormat="1" ht="23.25" customHeight="1">
      <c r="A1612" s="294"/>
      <c r="B1612" s="302" t="s">
        <v>140</v>
      </c>
      <c r="C1612" s="294">
        <v>-10</v>
      </c>
      <c r="D1612" s="294">
        <v>1</v>
      </c>
      <c r="E1612" s="294">
        <v>2</v>
      </c>
      <c r="F1612" s="295">
        <v>0.9</v>
      </c>
      <c r="G1612" s="294"/>
      <c r="H1612" s="295">
        <v>0.6</v>
      </c>
      <c r="I1612" s="298">
        <f t="shared" si="65"/>
        <v>-10.8</v>
      </c>
      <c r="J1612" s="303"/>
      <c r="K1612" s="67"/>
      <c r="L1612" s="67"/>
      <c r="M1612" s="67"/>
      <c r="N1612" s="67"/>
      <c r="O1612" s="67"/>
      <c r="P1612" s="67"/>
      <c r="Q1612" s="67"/>
      <c r="R1612" s="67"/>
      <c r="S1612" s="67"/>
      <c r="T1612" s="67"/>
      <c r="U1612" s="67"/>
      <c r="V1612" s="67"/>
      <c r="W1612" s="67"/>
      <c r="X1612" s="67"/>
      <c r="Y1612" s="67"/>
      <c r="Z1612" s="67"/>
      <c r="AA1612" s="67"/>
      <c r="AB1612" s="67"/>
      <c r="AC1612" s="67"/>
      <c r="AD1612" s="67"/>
    </row>
    <row r="1613" spans="1:30" s="33" customFormat="1" ht="19.5" customHeight="1">
      <c r="A1613" s="289"/>
      <c r="B1613" s="342"/>
      <c r="C1613" s="346"/>
      <c r="D1613" s="280"/>
      <c r="E1613" s="346"/>
      <c r="F1613" s="337"/>
      <c r="G1613" s="593"/>
      <c r="H1613" s="594"/>
      <c r="I1613" s="347">
        <f>SUM(I1535:I1612)</f>
        <v>12766.64</v>
      </c>
      <c r="J1613" s="287" t="s">
        <v>4</v>
      </c>
      <c r="K1613" s="42"/>
      <c r="L1613" s="42"/>
      <c r="M1613" s="42"/>
      <c r="N1613" s="34"/>
      <c r="O1613" s="34"/>
      <c r="P1613" s="34"/>
      <c r="Q1613" s="34"/>
      <c r="R1613" s="34"/>
      <c r="S1613" s="34"/>
      <c r="T1613" s="34"/>
      <c r="U1613" s="34"/>
      <c r="V1613" s="34"/>
      <c r="W1613" s="34"/>
      <c r="X1613" s="34"/>
      <c r="Y1613" s="34"/>
      <c r="Z1613" s="34"/>
      <c r="AA1613" s="34"/>
      <c r="AB1613" s="34"/>
      <c r="AC1613" s="34"/>
      <c r="AD1613" s="34"/>
    </row>
    <row r="1614" spans="1:30" s="33" customFormat="1" ht="19.5" customHeight="1">
      <c r="A1614" s="289"/>
      <c r="B1614" s="342"/>
      <c r="C1614" s="346"/>
      <c r="D1614" s="280"/>
      <c r="E1614" s="346"/>
      <c r="F1614" s="337"/>
      <c r="G1614" s="587" t="s">
        <v>311</v>
      </c>
      <c r="H1614" s="588"/>
      <c r="I1614" s="347">
        <f>I1613+I1533+I1531+I1529+I1527+I1525+I1523+I1521+I1519+I1517+I1515+I1398</f>
        <v>44493.19</v>
      </c>
      <c r="J1614" s="287" t="s">
        <v>4</v>
      </c>
      <c r="K1614" s="42"/>
      <c r="L1614" s="42"/>
      <c r="M1614" s="42"/>
      <c r="N1614" s="34"/>
      <c r="O1614" s="34"/>
      <c r="P1614" s="34"/>
      <c r="Q1614" s="34"/>
      <c r="R1614" s="34"/>
      <c r="S1614" s="34"/>
      <c r="T1614" s="34"/>
      <c r="U1614" s="34"/>
      <c r="V1614" s="34"/>
      <c r="W1614" s="34"/>
      <c r="X1614" s="34"/>
      <c r="Y1614" s="34"/>
      <c r="Z1614" s="34"/>
      <c r="AA1614" s="34"/>
      <c r="AB1614" s="34"/>
      <c r="AC1614" s="34"/>
      <c r="AD1614" s="34"/>
    </row>
    <row r="1615" spans="1:30" s="33" customFormat="1" ht="21.75" customHeight="1">
      <c r="A1615" s="289"/>
      <c r="B1615" s="342"/>
      <c r="C1615" s="346"/>
      <c r="D1615" s="280"/>
      <c r="E1615" s="346"/>
      <c r="F1615" s="337"/>
      <c r="G1615" s="595" t="s">
        <v>55</v>
      </c>
      <c r="H1615" s="596"/>
      <c r="I1615" s="416">
        <f>ROUNDUP(I1614,0)</f>
        <v>44494</v>
      </c>
      <c r="J1615" s="287" t="s">
        <v>4</v>
      </c>
      <c r="K1615" s="42"/>
      <c r="L1615" s="42"/>
      <c r="M1615" s="42"/>
      <c r="N1615" s="34">
        <v>319791.46000000002</v>
      </c>
      <c r="O1615" s="34"/>
      <c r="P1615" s="34"/>
      <c r="Q1615" s="34"/>
      <c r="R1615" s="34"/>
      <c r="S1615" s="34"/>
      <c r="T1615" s="34"/>
      <c r="U1615" s="34"/>
      <c r="V1615" s="34"/>
      <c r="W1615" s="34"/>
      <c r="X1615" s="34"/>
      <c r="Y1615" s="34"/>
      <c r="Z1615" s="34"/>
      <c r="AA1615" s="34"/>
      <c r="AB1615" s="34"/>
      <c r="AC1615" s="34"/>
      <c r="AD1615" s="34"/>
    </row>
    <row r="1616" spans="1:30" s="5" customFormat="1" ht="24" customHeight="1">
      <c r="A1616" s="345">
        <v>34</v>
      </c>
      <c r="B1616" s="319" t="s">
        <v>582</v>
      </c>
      <c r="C1616" s="294"/>
      <c r="D1616" s="280"/>
      <c r="E1616" s="294"/>
      <c r="F1616" s="338"/>
      <c r="G1616" s="338"/>
      <c r="H1616" s="338"/>
      <c r="I1616" s="347"/>
      <c r="J1616" s="340"/>
      <c r="K1616" s="39"/>
      <c r="L1616" s="39"/>
      <c r="M1616" s="39"/>
      <c r="N1616" s="7"/>
      <c r="O1616" s="7"/>
      <c r="P1616" s="7"/>
      <c r="Q1616" s="7"/>
      <c r="R1616" s="7"/>
      <c r="S1616" s="7"/>
      <c r="T1616" s="7"/>
      <c r="U1616" s="7"/>
      <c r="V1616" s="7"/>
      <c r="W1616" s="7"/>
      <c r="X1616" s="7"/>
      <c r="Y1616" s="7"/>
      <c r="Z1616" s="7"/>
      <c r="AA1616" s="7"/>
      <c r="AB1616" s="7"/>
      <c r="AC1616" s="7"/>
      <c r="AD1616" s="7"/>
    </row>
    <row r="1617" spans="1:30" s="367" customFormat="1" ht="22.5" customHeight="1">
      <c r="A1617" s="395"/>
      <c r="B1617" s="396" t="s">
        <v>1361</v>
      </c>
      <c r="C1617" s="397"/>
      <c r="D1617" s="397"/>
      <c r="E1617" s="397"/>
      <c r="F1617" s="410"/>
      <c r="G1617" s="410"/>
      <c r="H1617" s="410"/>
      <c r="I1617" s="399"/>
      <c r="J1617" s="396"/>
    </row>
    <row r="1618" spans="1:30" s="367" customFormat="1" ht="22.5" customHeight="1">
      <c r="A1618" s="395"/>
      <c r="B1618" s="401" t="s">
        <v>1315</v>
      </c>
      <c r="C1618" s="397">
        <v>12</v>
      </c>
      <c r="D1618" s="397">
        <v>2</v>
      </c>
      <c r="E1618" s="397">
        <v>1</v>
      </c>
      <c r="F1618" s="410">
        <v>3</v>
      </c>
      <c r="G1618" s="410" t="s">
        <v>26</v>
      </c>
      <c r="H1618" s="410">
        <v>1.65</v>
      </c>
      <c r="I1618" s="399">
        <f t="shared" ref="I1618:I1627" si="66">PRODUCT(C1618:H1618)</f>
        <v>118.8</v>
      </c>
      <c r="J1618" s="396"/>
    </row>
    <row r="1619" spans="1:30" s="367" customFormat="1" ht="22.5" customHeight="1">
      <c r="A1619" s="395"/>
      <c r="B1619" s="401" t="s">
        <v>1316</v>
      </c>
      <c r="C1619" s="397">
        <v>12</v>
      </c>
      <c r="D1619" s="397">
        <v>1</v>
      </c>
      <c r="E1619" s="397">
        <v>1</v>
      </c>
      <c r="F1619" s="410">
        <v>3</v>
      </c>
      <c r="G1619" s="410" t="s">
        <v>26</v>
      </c>
      <c r="H1619" s="410">
        <v>1.65</v>
      </c>
      <c r="I1619" s="399">
        <f t="shared" si="66"/>
        <v>59.4</v>
      </c>
      <c r="J1619" s="396"/>
    </row>
    <row r="1620" spans="1:30" s="367" customFormat="1" ht="22.5" customHeight="1">
      <c r="A1620" s="395"/>
      <c r="B1620" s="401" t="s">
        <v>1317</v>
      </c>
      <c r="C1620" s="397">
        <v>12</v>
      </c>
      <c r="D1620" s="397">
        <v>2</v>
      </c>
      <c r="E1620" s="397">
        <v>1</v>
      </c>
      <c r="F1620" s="410">
        <v>2.7</v>
      </c>
      <c r="G1620" s="410" t="s">
        <v>26</v>
      </c>
      <c r="H1620" s="410">
        <v>1.65</v>
      </c>
      <c r="I1620" s="399">
        <f t="shared" si="66"/>
        <v>106.92</v>
      </c>
      <c r="J1620" s="396"/>
    </row>
    <row r="1621" spans="1:30" s="367" customFormat="1" ht="22.5" customHeight="1">
      <c r="A1621" s="395"/>
      <c r="B1621" s="401" t="s">
        <v>1318</v>
      </c>
      <c r="C1621" s="397">
        <v>12</v>
      </c>
      <c r="D1621" s="397">
        <v>1</v>
      </c>
      <c r="E1621" s="397">
        <v>1</v>
      </c>
      <c r="F1621" s="410">
        <v>2.7</v>
      </c>
      <c r="G1621" s="410" t="s">
        <v>26</v>
      </c>
      <c r="H1621" s="410">
        <v>1.65</v>
      </c>
      <c r="I1621" s="399">
        <f t="shared" si="66"/>
        <v>53.46</v>
      </c>
      <c r="J1621" s="396"/>
    </row>
    <row r="1622" spans="1:30" s="367" customFormat="1" ht="22.5" customHeight="1">
      <c r="A1622" s="395"/>
      <c r="B1622" s="401" t="s">
        <v>1319</v>
      </c>
      <c r="C1622" s="397">
        <v>12</v>
      </c>
      <c r="D1622" s="397">
        <v>2</v>
      </c>
      <c r="E1622" s="397">
        <v>1</v>
      </c>
      <c r="F1622" s="410">
        <v>0.15</v>
      </c>
      <c r="G1622" s="410" t="s">
        <v>26</v>
      </c>
      <c r="H1622" s="410">
        <v>1.65</v>
      </c>
      <c r="I1622" s="399">
        <f t="shared" si="66"/>
        <v>5.94</v>
      </c>
      <c r="J1622" s="396"/>
    </row>
    <row r="1623" spans="1:30" s="367" customFormat="1" ht="22.5" customHeight="1">
      <c r="A1623" s="395"/>
      <c r="B1623" s="401" t="s">
        <v>1320</v>
      </c>
      <c r="C1623" s="397">
        <v>12</v>
      </c>
      <c r="D1623" s="397">
        <v>1</v>
      </c>
      <c r="E1623" s="397">
        <v>1</v>
      </c>
      <c r="F1623" s="410">
        <v>0.53</v>
      </c>
      <c r="G1623" s="410" t="s">
        <v>26</v>
      </c>
      <c r="H1623" s="410">
        <v>1.65</v>
      </c>
      <c r="I1623" s="399">
        <f t="shared" si="66"/>
        <v>10.49</v>
      </c>
      <c r="J1623" s="396"/>
    </row>
    <row r="1624" spans="1:30" s="367" customFormat="1" ht="22.5" customHeight="1">
      <c r="A1624" s="395"/>
      <c r="B1624" s="396" t="s">
        <v>1362</v>
      </c>
      <c r="C1624" s="397"/>
      <c r="D1624" s="397"/>
      <c r="E1624" s="397"/>
      <c r="F1624" s="410"/>
      <c r="G1624" s="410"/>
      <c r="H1624" s="410"/>
      <c r="I1624" s="399"/>
      <c r="J1624" s="396"/>
    </row>
    <row r="1625" spans="1:30" s="367" customFormat="1" ht="22.5" customHeight="1">
      <c r="A1625" s="395"/>
      <c r="B1625" s="401" t="s">
        <v>1363</v>
      </c>
      <c r="C1625" s="397">
        <v>1</v>
      </c>
      <c r="D1625" s="397">
        <v>1</v>
      </c>
      <c r="E1625" s="397">
        <v>1</v>
      </c>
      <c r="F1625" s="410">
        <v>7.2</v>
      </c>
      <c r="G1625" s="410" t="s">
        <v>26</v>
      </c>
      <c r="H1625" s="410">
        <v>1.65</v>
      </c>
      <c r="I1625" s="399">
        <f t="shared" si="66"/>
        <v>11.88</v>
      </c>
      <c r="J1625" s="396"/>
    </row>
    <row r="1626" spans="1:30" s="367" customFormat="1" ht="22.5" customHeight="1">
      <c r="A1626" s="395"/>
      <c r="B1626" s="401" t="s">
        <v>1364</v>
      </c>
      <c r="C1626" s="397">
        <v>1</v>
      </c>
      <c r="D1626" s="397">
        <v>1</v>
      </c>
      <c r="E1626" s="397">
        <v>1</v>
      </c>
      <c r="F1626" s="410">
        <v>12.75</v>
      </c>
      <c r="G1626" s="410" t="s">
        <v>26</v>
      </c>
      <c r="H1626" s="410">
        <v>1.65</v>
      </c>
      <c r="I1626" s="399">
        <f t="shared" si="66"/>
        <v>21.04</v>
      </c>
      <c r="J1626" s="396"/>
    </row>
    <row r="1627" spans="1:30" s="367" customFormat="1" ht="22.5" customHeight="1">
      <c r="A1627" s="395"/>
      <c r="B1627" s="401" t="s">
        <v>1365</v>
      </c>
      <c r="C1627" s="397">
        <v>1</v>
      </c>
      <c r="D1627" s="397">
        <v>1</v>
      </c>
      <c r="E1627" s="397">
        <v>1</v>
      </c>
      <c r="F1627" s="410">
        <v>6</v>
      </c>
      <c r="G1627" s="410" t="s">
        <v>26</v>
      </c>
      <c r="H1627" s="410">
        <v>1.65</v>
      </c>
      <c r="I1627" s="399">
        <f t="shared" si="66"/>
        <v>9.9</v>
      </c>
      <c r="J1627" s="396"/>
    </row>
    <row r="1628" spans="1:30" s="367" customFormat="1" ht="22.5" customHeight="1">
      <c r="A1628" s="395"/>
      <c r="B1628" s="401" t="s">
        <v>1366</v>
      </c>
      <c r="C1628" s="397">
        <v>1</v>
      </c>
      <c r="D1628" s="397">
        <v>2</v>
      </c>
      <c r="E1628" s="397">
        <v>10</v>
      </c>
      <c r="F1628" s="410">
        <v>2.4</v>
      </c>
      <c r="G1628" s="410" t="s">
        <v>26</v>
      </c>
      <c r="H1628" s="410">
        <v>0.75</v>
      </c>
      <c r="I1628" s="399">
        <f>PRODUCT(C1628:H1628)</f>
        <v>36</v>
      </c>
      <c r="J1628" s="396"/>
    </row>
    <row r="1629" spans="1:30" s="367" customFormat="1" ht="22.5" customHeight="1">
      <c r="A1629" s="395"/>
      <c r="B1629" s="401" t="s">
        <v>1367</v>
      </c>
      <c r="C1629" s="397">
        <v>1</v>
      </c>
      <c r="D1629" s="397">
        <v>1</v>
      </c>
      <c r="E1629" s="397">
        <v>5</v>
      </c>
      <c r="F1629" s="410">
        <v>2.4</v>
      </c>
      <c r="G1629" s="410" t="s">
        <v>26</v>
      </c>
      <c r="H1629" s="410">
        <v>0.75</v>
      </c>
      <c r="I1629" s="399">
        <f>PRODUCT(C1629:H1629)</f>
        <v>9</v>
      </c>
      <c r="J1629" s="396"/>
    </row>
    <row r="1630" spans="1:30" s="367" customFormat="1" ht="22.5" customHeight="1">
      <c r="A1630" s="395"/>
      <c r="B1630" s="401" t="s">
        <v>1368</v>
      </c>
      <c r="C1630" s="397">
        <v>1</v>
      </c>
      <c r="D1630" s="397">
        <v>1</v>
      </c>
      <c r="E1630" s="397">
        <v>5</v>
      </c>
      <c r="F1630" s="410">
        <v>2.4</v>
      </c>
      <c r="G1630" s="410" t="s">
        <v>26</v>
      </c>
      <c r="H1630" s="410">
        <v>0.75</v>
      </c>
      <c r="I1630" s="399">
        <f>PRODUCT(C1630:H1630)</f>
        <v>9</v>
      </c>
      <c r="J1630" s="396"/>
    </row>
    <row r="1631" spans="1:30" s="5" customFormat="1" ht="23.25" customHeight="1">
      <c r="A1631" s="289"/>
      <c r="B1631" s="342"/>
      <c r="C1631" s="346"/>
      <c r="D1631" s="280"/>
      <c r="E1631" s="346"/>
      <c r="F1631" s="337"/>
      <c r="G1631" s="587" t="s">
        <v>60</v>
      </c>
      <c r="H1631" s="588"/>
      <c r="I1631" s="339">
        <f>SUM(I1618:I1630)</f>
        <v>451.83</v>
      </c>
      <c r="J1631" s="287" t="s">
        <v>4</v>
      </c>
      <c r="K1631" s="42"/>
      <c r="L1631" s="42"/>
      <c r="M1631" s="42"/>
      <c r="N1631" s="7"/>
      <c r="O1631" s="7"/>
      <c r="P1631" s="7"/>
      <c r="Q1631" s="7"/>
      <c r="R1631" s="7"/>
      <c r="S1631" s="7"/>
      <c r="T1631" s="7"/>
      <c r="U1631" s="7"/>
      <c r="V1631" s="7"/>
      <c r="W1631" s="7"/>
      <c r="X1631" s="7"/>
      <c r="Y1631" s="7"/>
      <c r="Z1631" s="7"/>
      <c r="AA1631" s="7"/>
      <c r="AB1631" s="7"/>
      <c r="AC1631" s="7"/>
      <c r="AD1631" s="7"/>
    </row>
    <row r="1632" spans="1:30" s="5" customFormat="1" ht="23.25" customHeight="1">
      <c r="A1632" s="289"/>
      <c r="B1632" s="342"/>
      <c r="C1632" s="346"/>
      <c r="D1632" s="280"/>
      <c r="E1632" s="346"/>
      <c r="F1632" s="337"/>
      <c r="G1632" s="595" t="s">
        <v>55</v>
      </c>
      <c r="H1632" s="596"/>
      <c r="I1632" s="416">
        <f>ROUNDUP(I1631,1)</f>
        <v>451.9</v>
      </c>
      <c r="J1632" s="287" t="s">
        <v>4</v>
      </c>
      <c r="K1632" s="42"/>
      <c r="L1632" s="42"/>
      <c r="M1632" s="42"/>
      <c r="N1632" s="7"/>
      <c r="O1632" s="7"/>
      <c r="P1632" s="7"/>
      <c r="Q1632" s="7"/>
      <c r="R1632" s="7"/>
      <c r="S1632" s="7"/>
      <c r="T1632" s="7"/>
      <c r="U1632" s="7"/>
      <c r="V1632" s="7"/>
      <c r="W1632" s="7"/>
      <c r="X1632" s="7"/>
      <c r="Y1632" s="7"/>
      <c r="Z1632" s="7"/>
      <c r="AA1632" s="7"/>
      <c r="AB1632" s="7"/>
      <c r="AC1632" s="7"/>
      <c r="AD1632" s="7"/>
    </row>
    <row r="1633" spans="1:30" s="128" customFormat="1" ht="30.75" customHeight="1">
      <c r="A1633" s="345"/>
      <c r="B1633" s="319" t="s">
        <v>1426</v>
      </c>
      <c r="C1633" s="346"/>
      <c r="D1633" s="280"/>
      <c r="E1633" s="346"/>
      <c r="F1633" s="337"/>
      <c r="G1633" s="337"/>
      <c r="H1633" s="337"/>
      <c r="I1633" s="347"/>
      <c r="J1633" s="284"/>
      <c r="K1633" s="274"/>
      <c r="L1633" s="274"/>
      <c r="M1633" s="274"/>
      <c r="N1633" s="129"/>
      <c r="O1633" s="129"/>
      <c r="P1633" s="129"/>
      <c r="Q1633" s="129"/>
      <c r="R1633" s="129"/>
      <c r="S1633" s="129"/>
      <c r="T1633" s="129"/>
      <c r="U1633" s="129"/>
      <c r="V1633" s="129"/>
      <c r="W1633" s="129"/>
      <c r="X1633" s="129"/>
      <c r="Y1633" s="129"/>
      <c r="Z1633" s="129"/>
      <c r="AA1633" s="129"/>
      <c r="AB1633" s="129"/>
      <c r="AC1633" s="129"/>
      <c r="AD1633" s="129"/>
    </row>
    <row r="1634" spans="1:30" s="5" customFormat="1" ht="26.25" customHeight="1">
      <c r="A1634" s="370"/>
      <c r="B1634" s="319" t="s">
        <v>309</v>
      </c>
      <c r="C1634" s="346"/>
      <c r="D1634" s="280"/>
      <c r="E1634" s="346"/>
      <c r="F1634" s="337"/>
      <c r="G1634" s="337"/>
      <c r="H1634" s="337"/>
      <c r="I1634" s="347"/>
      <c r="J1634" s="284"/>
      <c r="K1634" s="43"/>
      <c r="L1634" s="43"/>
      <c r="M1634" s="43"/>
      <c r="N1634" s="7"/>
      <c r="O1634" s="7"/>
      <c r="P1634" s="7"/>
      <c r="Q1634" s="7"/>
      <c r="R1634" s="7"/>
      <c r="S1634" s="7"/>
      <c r="T1634" s="7"/>
      <c r="U1634" s="7"/>
      <c r="V1634" s="7"/>
      <c r="W1634" s="7"/>
      <c r="X1634" s="7"/>
      <c r="Y1634" s="7"/>
      <c r="Z1634" s="7"/>
      <c r="AA1634" s="7"/>
      <c r="AB1634" s="7"/>
      <c r="AC1634" s="7"/>
      <c r="AD1634" s="7"/>
    </row>
    <row r="1635" spans="1:30" s="367" customFormat="1" ht="22.5" customHeight="1">
      <c r="A1635" s="395"/>
      <c r="B1635" s="396" t="s">
        <v>216</v>
      </c>
      <c r="C1635" s="397"/>
      <c r="D1635" s="397"/>
      <c r="E1635" s="397"/>
      <c r="F1635" s="410"/>
      <c r="G1635" s="410"/>
      <c r="H1635" s="395"/>
      <c r="I1635" s="517"/>
      <c r="J1635" s="396"/>
    </row>
    <row r="1636" spans="1:30" s="367" customFormat="1" ht="22.5" customHeight="1">
      <c r="A1636" s="395"/>
      <c r="B1636" s="401" t="s">
        <v>1369</v>
      </c>
      <c r="C1636" s="397">
        <v>1</v>
      </c>
      <c r="D1636" s="397">
        <v>1</v>
      </c>
      <c r="E1636" s="397">
        <v>1</v>
      </c>
      <c r="F1636" s="398">
        <v>3.3849999999999998</v>
      </c>
      <c r="G1636" s="398">
        <v>2.5049999999999999</v>
      </c>
      <c r="H1636" s="410" t="s">
        <v>26</v>
      </c>
      <c r="I1636" s="399">
        <f t="shared" ref="I1636:I1730" si="67">PRODUCT(C1636:H1636)</f>
        <v>8.48</v>
      </c>
      <c r="J1636" s="396"/>
    </row>
    <row r="1637" spans="1:30" s="367" customFormat="1" ht="22.5" customHeight="1">
      <c r="A1637" s="395"/>
      <c r="B1637" s="401" t="s">
        <v>1370</v>
      </c>
      <c r="C1637" s="397">
        <v>1</v>
      </c>
      <c r="D1637" s="397">
        <v>1</v>
      </c>
      <c r="E1637" s="397">
        <v>1</v>
      </c>
      <c r="F1637" s="398">
        <v>0.78500000000000003</v>
      </c>
      <c r="G1637" s="398">
        <v>1.43</v>
      </c>
      <c r="H1637" s="410" t="s">
        <v>26</v>
      </c>
      <c r="I1637" s="399">
        <f t="shared" si="67"/>
        <v>1.1200000000000001</v>
      </c>
      <c r="J1637" s="396"/>
    </row>
    <row r="1638" spans="1:30" s="367" customFormat="1" ht="22.5" customHeight="1">
      <c r="A1638" s="395"/>
      <c r="B1638" s="401" t="s">
        <v>1371</v>
      </c>
      <c r="C1638" s="397">
        <v>1</v>
      </c>
      <c r="D1638" s="397">
        <v>1</v>
      </c>
      <c r="E1638" s="397">
        <v>1</v>
      </c>
      <c r="F1638" s="398">
        <v>3.3849999999999998</v>
      </c>
      <c r="G1638" s="398">
        <v>2.5049999999999999</v>
      </c>
      <c r="H1638" s="410" t="s">
        <v>26</v>
      </c>
      <c r="I1638" s="399">
        <f t="shared" si="67"/>
        <v>8.48</v>
      </c>
      <c r="J1638" s="396"/>
    </row>
    <row r="1639" spans="1:30" s="367" customFormat="1" ht="22.5" customHeight="1">
      <c r="A1639" s="395"/>
      <c r="B1639" s="401" t="s">
        <v>1372</v>
      </c>
      <c r="C1639" s="397">
        <v>1</v>
      </c>
      <c r="D1639" s="397">
        <v>1</v>
      </c>
      <c r="E1639" s="397">
        <v>1</v>
      </c>
      <c r="F1639" s="398">
        <v>0.78500000000000003</v>
      </c>
      <c r="G1639" s="398">
        <v>1.43</v>
      </c>
      <c r="H1639" s="410" t="s">
        <v>26</v>
      </c>
      <c r="I1639" s="399">
        <f t="shared" si="67"/>
        <v>1.1200000000000001</v>
      </c>
      <c r="J1639" s="396"/>
    </row>
    <row r="1640" spans="1:30" s="367" customFormat="1" ht="22.5" customHeight="1">
      <c r="A1640" s="395"/>
      <c r="B1640" s="401" t="s">
        <v>71</v>
      </c>
      <c r="C1640" s="397">
        <v>1</v>
      </c>
      <c r="D1640" s="397">
        <v>1</v>
      </c>
      <c r="E1640" s="397">
        <v>1</v>
      </c>
      <c r="F1640" s="398">
        <v>2.1</v>
      </c>
      <c r="G1640" s="398">
        <v>1.3149999999999999</v>
      </c>
      <c r="H1640" s="410" t="s">
        <v>26</v>
      </c>
      <c r="I1640" s="399">
        <f t="shared" si="67"/>
        <v>2.76</v>
      </c>
      <c r="J1640" s="396"/>
    </row>
    <row r="1641" spans="1:30" s="367" customFormat="1" ht="22.5" customHeight="1">
      <c r="A1641" s="395"/>
      <c r="B1641" s="401" t="s">
        <v>1373</v>
      </c>
      <c r="C1641" s="397">
        <v>1</v>
      </c>
      <c r="D1641" s="397">
        <v>1</v>
      </c>
      <c r="E1641" s="397">
        <v>3</v>
      </c>
      <c r="F1641" s="398">
        <v>3.3849999999999998</v>
      </c>
      <c r="G1641" s="398">
        <v>4.665</v>
      </c>
      <c r="H1641" s="410" t="s">
        <v>26</v>
      </c>
      <c r="I1641" s="399">
        <f t="shared" si="67"/>
        <v>47.37</v>
      </c>
      <c r="J1641" s="396"/>
    </row>
    <row r="1642" spans="1:30" s="367" customFormat="1" ht="22.5" customHeight="1">
      <c r="A1642" s="395"/>
      <c r="B1642" s="401" t="s">
        <v>1373</v>
      </c>
      <c r="C1642" s="397">
        <v>1</v>
      </c>
      <c r="D1642" s="397">
        <v>1</v>
      </c>
      <c r="E1642" s="397">
        <v>4</v>
      </c>
      <c r="F1642" s="398">
        <v>3.3849999999999998</v>
      </c>
      <c r="G1642" s="398">
        <v>4.8449999999999998</v>
      </c>
      <c r="H1642" s="410" t="s">
        <v>26</v>
      </c>
      <c r="I1642" s="399">
        <f t="shared" si="67"/>
        <v>65.599999999999994</v>
      </c>
      <c r="J1642" s="396"/>
    </row>
    <row r="1643" spans="1:30" s="367" customFormat="1" ht="22.5" customHeight="1">
      <c r="A1643" s="395"/>
      <c r="B1643" s="401" t="s">
        <v>1373</v>
      </c>
      <c r="C1643" s="397">
        <v>1</v>
      </c>
      <c r="D1643" s="397">
        <v>1</v>
      </c>
      <c r="E1643" s="397">
        <v>1</v>
      </c>
      <c r="F1643" s="398">
        <v>3.375</v>
      </c>
      <c r="G1643" s="398">
        <v>4.8449999999999998</v>
      </c>
      <c r="H1643" s="410" t="s">
        <v>26</v>
      </c>
      <c r="I1643" s="399">
        <f t="shared" si="67"/>
        <v>16.350000000000001</v>
      </c>
      <c r="J1643" s="396"/>
    </row>
    <row r="1644" spans="1:30" s="367" customFormat="1" ht="22.5" customHeight="1">
      <c r="A1644" s="395"/>
      <c r="B1644" s="401" t="s">
        <v>1373</v>
      </c>
      <c r="C1644" s="397">
        <v>1</v>
      </c>
      <c r="D1644" s="397">
        <v>1</v>
      </c>
      <c r="E1644" s="397">
        <v>2</v>
      </c>
      <c r="F1644" s="398">
        <v>3.3149999999999999</v>
      </c>
      <c r="G1644" s="398">
        <v>4.835</v>
      </c>
      <c r="H1644" s="410" t="s">
        <v>26</v>
      </c>
      <c r="I1644" s="399">
        <f t="shared" si="67"/>
        <v>32.06</v>
      </c>
      <c r="J1644" s="396"/>
    </row>
    <row r="1645" spans="1:30" s="367" customFormat="1" ht="22.5" customHeight="1">
      <c r="A1645" s="395"/>
      <c r="B1645" s="401" t="s">
        <v>1374</v>
      </c>
      <c r="C1645" s="397">
        <v>1</v>
      </c>
      <c r="D1645" s="397">
        <v>1</v>
      </c>
      <c r="E1645" s="397">
        <v>1</v>
      </c>
      <c r="F1645" s="398">
        <v>35.5</v>
      </c>
      <c r="G1645" s="398">
        <v>6.06</v>
      </c>
      <c r="H1645" s="410" t="s">
        <v>26</v>
      </c>
      <c r="I1645" s="399">
        <f t="shared" si="67"/>
        <v>215.13</v>
      </c>
      <c r="J1645" s="396"/>
    </row>
    <row r="1646" spans="1:30" s="367" customFormat="1" ht="22.5" customHeight="1">
      <c r="A1646" s="395"/>
      <c r="B1646" s="401" t="s">
        <v>1375</v>
      </c>
      <c r="C1646" s="397">
        <v>1</v>
      </c>
      <c r="D1646" s="397">
        <v>1</v>
      </c>
      <c r="E1646" s="397">
        <v>2</v>
      </c>
      <c r="F1646" s="398">
        <v>2.91</v>
      </c>
      <c r="G1646" s="398">
        <v>1.3149999999999999</v>
      </c>
      <c r="H1646" s="410" t="s">
        <v>26</v>
      </c>
      <c r="I1646" s="399">
        <f t="shared" si="67"/>
        <v>7.65</v>
      </c>
      <c r="J1646" s="396"/>
    </row>
    <row r="1647" spans="1:30" s="367" customFormat="1" ht="22.5" customHeight="1">
      <c r="A1647" s="395"/>
      <c r="B1647" s="401" t="s">
        <v>1376</v>
      </c>
      <c r="C1647" s="397">
        <v>1</v>
      </c>
      <c r="D1647" s="397">
        <v>1</v>
      </c>
      <c r="E1647" s="397">
        <v>1</v>
      </c>
      <c r="F1647" s="398">
        <v>4.9800000000000004</v>
      </c>
      <c r="G1647" s="398">
        <v>21.91</v>
      </c>
      <c r="H1647" s="410" t="s">
        <v>26</v>
      </c>
      <c r="I1647" s="399">
        <f t="shared" si="67"/>
        <v>109.11</v>
      </c>
      <c r="J1647" s="396"/>
    </row>
    <row r="1648" spans="1:30" s="367" customFormat="1" ht="22.5" customHeight="1">
      <c r="A1648" s="395"/>
      <c r="B1648" s="401" t="s">
        <v>1377</v>
      </c>
      <c r="C1648" s="397">
        <v>1</v>
      </c>
      <c r="D1648" s="397">
        <v>1</v>
      </c>
      <c r="E1648" s="397">
        <v>5</v>
      </c>
      <c r="F1648" s="398">
        <v>6.93</v>
      </c>
      <c r="G1648" s="398">
        <v>9.3550000000000004</v>
      </c>
      <c r="H1648" s="410" t="s">
        <v>26</v>
      </c>
      <c r="I1648" s="399">
        <f t="shared" si="67"/>
        <v>324.14999999999998</v>
      </c>
      <c r="J1648" s="396"/>
    </row>
    <row r="1649" spans="1:10" s="367" customFormat="1" ht="22.5" customHeight="1">
      <c r="A1649" s="395"/>
      <c r="B1649" s="401" t="s">
        <v>1378</v>
      </c>
      <c r="C1649" s="397">
        <v>1</v>
      </c>
      <c r="D1649" s="397">
        <v>1</v>
      </c>
      <c r="E1649" s="397">
        <v>7</v>
      </c>
      <c r="F1649" s="398">
        <v>3.8450000000000002</v>
      </c>
      <c r="G1649" s="398">
        <v>4.2300000000000004</v>
      </c>
      <c r="H1649" s="410" t="s">
        <v>26</v>
      </c>
      <c r="I1649" s="399">
        <f t="shared" si="67"/>
        <v>113.85</v>
      </c>
      <c r="J1649" s="396"/>
    </row>
    <row r="1650" spans="1:10" s="367" customFormat="1" ht="22.5" customHeight="1">
      <c r="A1650" s="395"/>
      <c r="B1650" s="396" t="s">
        <v>1379</v>
      </c>
      <c r="C1650" s="397"/>
      <c r="D1650" s="397"/>
      <c r="E1650" s="397"/>
      <c r="F1650" s="410"/>
      <c r="G1650" s="410"/>
      <c r="H1650" s="410"/>
      <c r="I1650" s="399"/>
      <c r="J1650" s="396"/>
    </row>
    <row r="1651" spans="1:10" s="367" customFormat="1" ht="22.5" customHeight="1">
      <c r="A1651" s="395"/>
      <c r="B1651" s="401" t="s">
        <v>1380</v>
      </c>
      <c r="C1651" s="397">
        <v>1</v>
      </c>
      <c r="D1651" s="397">
        <v>2</v>
      </c>
      <c r="E1651" s="397">
        <v>2</v>
      </c>
      <c r="F1651" s="398">
        <v>2.85</v>
      </c>
      <c r="G1651" s="398" t="s">
        <v>26</v>
      </c>
      <c r="H1651" s="398">
        <v>0.32500000000000001</v>
      </c>
      <c r="I1651" s="399">
        <f t="shared" ref="I1651:I1676" si="68">PRODUCT(C1651:H1651)</f>
        <v>3.71</v>
      </c>
      <c r="J1651" s="396"/>
    </row>
    <row r="1652" spans="1:10" s="367" customFormat="1" ht="22.5" customHeight="1">
      <c r="A1652" s="395"/>
      <c r="B1652" s="401" t="s">
        <v>1381</v>
      </c>
      <c r="C1652" s="397">
        <v>1</v>
      </c>
      <c r="D1652" s="397">
        <v>1</v>
      </c>
      <c r="E1652" s="397">
        <v>2</v>
      </c>
      <c r="F1652" s="398">
        <v>3.53</v>
      </c>
      <c r="G1652" s="398" t="s">
        <v>26</v>
      </c>
      <c r="H1652" s="398">
        <v>0.32500000000000001</v>
      </c>
      <c r="I1652" s="399">
        <f t="shared" si="68"/>
        <v>2.29</v>
      </c>
      <c r="J1652" s="396"/>
    </row>
    <row r="1653" spans="1:10" s="367" customFormat="1" ht="22.5" customHeight="1">
      <c r="A1653" s="395"/>
      <c r="B1653" s="401" t="s">
        <v>1382</v>
      </c>
      <c r="C1653" s="397">
        <v>1</v>
      </c>
      <c r="D1653" s="397">
        <v>2</v>
      </c>
      <c r="E1653" s="397">
        <v>10</v>
      </c>
      <c r="F1653" s="398">
        <v>3.35</v>
      </c>
      <c r="G1653" s="398" t="s">
        <v>26</v>
      </c>
      <c r="H1653" s="398">
        <v>0.27500000000000002</v>
      </c>
      <c r="I1653" s="399">
        <f t="shared" si="68"/>
        <v>18.43</v>
      </c>
      <c r="J1653" s="396"/>
    </row>
    <row r="1654" spans="1:10" s="367" customFormat="1" ht="22.5" customHeight="1">
      <c r="A1654" s="395"/>
      <c r="B1654" s="401" t="s">
        <v>1382</v>
      </c>
      <c r="C1654" s="397">
        <v>1</v>
      </c>
      <c r="D1654" s="397">
        <v>2</v>
      </c>
      <c r="E1654" s="397">
        <v>5</v>
      </c>
      <c r="F1654" s="398">
        <v>8.8949999999999996</v>
      </c>
      <c r="G1654" s="398" t="s">
        <v>26</v>
      </c>
      <c r="H1654" s="398">
        <v>0.27500000000000002</v>
      </c>
      <c r="I1654" s="399">
        <f t="shared" si="68"/>
        <v>24.46</v>
      </c>
      <c r="J1654" s="396"/>
    </row>
    <row r="1655" spans="1:10" s="367" customFormat="1" ht="16.5">
      <c r="A1655" s="395"/>
      <c r="B1655" s="401" t="s">
        <v>1383</v>
      </c>
      <c r="C1655" s="397">
        <v>1</v>
      </c>
      <c r="D1655" s="397">
        <v>1</v>
      </c>
      <c r="E1655" s="397">
        <v>6</v>
      </c>
      <c r="F1655" s="398">
        <v>2.57</v>
      </c>
      <c r="G1655" s="398" t="s">
        <v>26</v>
      </c>
      <c r="H1655" s="398">
        <v>0.27500000000000002</v>
      </c>
      <c r="I1655" s="399">
        <f t="shared" si="68"/>
        <v>4.24</v>
      </c>
      <c r="J1655" s="396"/>
    </row>
    <row r="1656" spans="1:10" s="367" customFormat="1" ht="22.5" customHeight="1">
      <c r="A1656" s="395"/>
      <c r="B1656" s="401" t="s">
        <v>1384</v>
      </c>
      <c r="C1656" s="397">
        <v>1</v>
      </c>
      <c r="D1656" s="397">
        <v>1</v>
      </c>
      <c r="E1656" s="397">
        <v>6</v>
      </c>
      <c r="F1656" s="398">
        <v>2.17</v>
      </c>
      <c r="G1656" s="398" t="s">
        <v>26</v>
      </c>
      <c r="H1656" s="398">
        <v>0.47499999999999998</v>
      </c>
      <c r="I1656" s="399">
        <f t="shared" si="68"/>
        <v>6.18</v>
      </c>
      <c r="J1656" s="396"/>
    </row>
    <row r="1657" spans="1:10" s="367" customFormat="1" ht="22.5" customHeight="1">
      <c r="A1657" s="395"/>
      <c r="B1657" s="401" t="s">
        <v>1385</v>
      </c>
      <c r="C1657" s="397">
        <v>2</v>
      </c>
      <c r="D1657" s="397">
        <v>2</v>
      </c>
      <c r="E1657" s="397">
        <v>8</v>
      </c>
      <c r="F1657" s="398">
        <v>3.3849999999999998</v>
      </c>
      <c r="G1657" s="398" t="s">
        <v>26</v>
      </c>
      <c r="H1657" s="398">
        <v>0.47499999999999998</v>
      </c>
      <c r="I1657" s="399">
        <f t="shared" si="68"/>
        <v>51.45</v>
      </c>
      <c r="J1657" s="396"/>
    </row>
    <row r="1658" spans="1:10" s="367" customFormat="1" ht="22.5" customHeight="1">
      <c r="A1658" s="395"/>
      <c r="B1658" s="401" t="s">
        <v>1382</v>
      </c>
      <c r="C1658" s="397">
        <v>1</v>
      </c>
      <c r="D1658" s="397">
        <v>2</v>
      </c>
      <c r="E1658" s="397">
        <v>10</v>
      </c>
      <c r="F1658" s="398">
        <v>3.35</v>
      </c>
      <c r="G1658" s="398" t="s">
        <v>26</v>
      </c>
      <c r="H1658" s="398">
        <v>0.27500000000000002</v>
      </c>
      <c r="I1658" s="399">
        <f t="shared" si="68"/>
        <v>18.43</v>
      </c>
      <c r="J1658" s="396"/>
    </row>
    <row r="1659" spans="1:10" s="367" customFormat="1" ht="22.5" customHeight="1">
      <c r="A1659" s="395"/>
      <c r="B1659" s="401" t="s">
        <v>1382</v>
      </c>
      <c r="C1659" s="397">
        <v>1</v>
      </c>
      <c r="D1659" s="397">
        <v>2</v>
      </c>
      <c r="E1659" s="397">
        <v>5</v>
      </c>
      <c r="F1659" s="398">
        <v>8.8949999999999996</v>
      </c>
      <c r="G1659" s="398" t="s">
        <v>26</v>
      </c>
      <c r="H1659" s="398">
        <v>0.27500000000000002</v>
      </c>
      <c r="I1659" s="399">
        <f t="shared" si="68"/>
        <v>24.46</v>
      </c>
      <c r="J1659" s="396"/>
    </row>
    <row r="1660" spans="1:10" s="367" customFormat="1" ht="22.5" customHeight="1">
      <c r="A1660" s="395"/>
      <c r="B1660" s="401" t="s">
        <v>1386</v>
      </c>
      <c r="C1660" s="397">
        <v>1</v>
      </c>
      <c r="D1660" s="397">
        <v>1</v>
      </c>
      <c r="E1660" s="397">
        <v>6</v>
      </c>
      <c r="F1660" s="398">
        <v>3.3849999999999998</v>
      </c>
      <c r="G1660" s="398" t="s">
        <v>26</v>
      </c>
      <c r="H1660" s="398">
        <v>0.25</v>
      </c>
      <c r="I1660" s="399">
        <f t="shared" si="68"/>
        <v>5.08</v>
      </c>
      <c r="J1660" s="396"/>
    </row>
    <row r="1661" spans="1:10" s="367" customFormat="1" ht="22.5" customHeight="1">
      <c r="A1661" s="395"/>
      <c r="B1661" s="401" t="s">
        <v>1387</v>
      </c>
      <c r="C1661" s="397">
        <v>1</v>
      </c>
      <c r="D1661" s="397">
        <v>1</v>
      </c>
      <c r="E1661" s="397">
        <v>6</v>
      </c>
      <c r="F1661" s="398">
        <v>3.6</v>
      </c>
      <c r="G1661" s="398" t="s">
        <v>26</v>
      </c>
      <c r="H1661" s="398">
        <v>0.25</v>
      </c>
      <c r="I1661" s="399">
        <f t="shared" si="68"/>
        <v>5.4</v>
      </c>
      <c r="J1661" s="396"/>
    </row>
    <row r="1662" spans="1:10" s="367" customFormat="1" ht="22.5" customHeight="1">
      <c r="A1662" s="395"/>
      <c r="B1662" s="401" t="s">
        <v>1388</v>
      </c>
      <c r="C1662" s="397">
        <v>1</v>
      </c>
      <c r="D1662" s="397">
        <v>2</v>
      </c>
      <c r="E1662" s="397">
        <v>5</v>
      </c>
      <c r="F1662" s="398">
        <v>5.0650000000000004</v>
      </c>
      <c r="G1662" s="398" t="s">
        <v>26</v>
      </c>
      <c r="H1662" s="398">
        <v>0.47499999999999998</v>
      </c>
      <c r="I1662" s="399">
        <f t="shared" si="68"/>
        <v>24.06</v>
      </c>
      <c r="J1662" s="396"/>
    </row>
    <row r="1663" spans="1:10" s="367" customFormat="1" ht="22.5" customHeight="1">
      <c r="A1663" s="395"/>
      <c r="B1663" s="401" t="s">
        <v>1389</v>
      </c>
      <c r="C1663" s="397">
        <v>1</v>
      </c>
      <c r="D1663" s="397">
        <v>2</v>
      </c>
      <c r="E1663" s="397">
        <v>6</v>
      </c>
      <c r="F1663" s="398">
        <v>3.6</v>
      </c>
      <c r="G1663" s="398" t="s">
        <v>26</v>
      </c>
      <c r="H1663" s="398">
        <v>0.47499999999999998</v>
      </c>
      <c r="I1663" s="399">
        <f t="shared" si="68"/>
        <v>20.52</v>
      </c>
      <c r="J1663" s="396"/>
    </row>
    <row r="1664" spans="1:10" s="367" customFormat="1" ht="22.5" customHeight="1">
      <c r="A1664" s="395"/>
      <c r="B1664" s="401" t="s">
        <v>1380</v>
      </c>
      <c r="C1664" s="397">
        <v>1</v>
      </c>
      <c r="D1664" s="397">
        <v>2</v>
      </c>
      <c r="E1664" s="397">
        <v>2</v>
      </c>
      <c r="F1664" s="398">
        <v>2.85</v>
      </c>
      <c r="G1664" s="398" t="s">
        <v>26</v>
      </c>
      <c r="H1664" s="398">
        <v>0.32500000000000001</v>
      </c>
      <c r="I1664" s="399">
        <f t="shared" si="68"/>
        <v>3.71</v>
      </c>
      <c r="J1664" s="396"/>
    </row>
    <row r="1665" spans="1:10" s="367" customFormat="1" ht="22.5" customHeight="1">
      <c r="A1665" s="395"/>
      <c r="B1665" s="401" t="s">
        <v>1381</v>
      </c>
      <c r="C1665" s="397">
        <v>1</v>
      </c>
      <c r="D1665" s="397">
        <v>1</v>
      </c>
      <c r="E1665" s="397">
        <v>2</v>
      </c>
      <c r="F1665" s="398">
        <v>3.53</v>
      </c>
      <c r="G1665" s="398" t="s">
        <v>26</v>
      </c>
      <c r="H1665" s="398">
        <v>0.32500000000000001</v>
      </c>
      <c r="I1665" s="399">
        <f t="shared" si="68"/>
        <v>2.29</v>
      </c>
      <c r="J1665" s="396"/>
    </row>
    <row r="1666" spans="1:10" s="367" customFormat="1" ht="22.5" customHeight="1">
      <c r="A1666" s="395"/>
      <c r="B1666" s="401" t="s">
        <v>1390</v>
      </c>
      <c r="C1666" s="397">
        <v>1</v>
      </c>
      <c r="D1666" s="397">
        <v>2</v>
      </c>
      <c r="E1666" s="397">
        <v>20</v>
      </c>
      <c r="F1666" s="398">
        <v>1.9</v>
      </c>
      <c r="G1666" s="398" t="s">
        <v>26</v>
      </c>
      <c r="H1666" s="398">
        <v>0.17499999999999999</v>
      </c>
      <c r="I1666" s="399">
        <f t="shared" si="68"/>
        <v>13.3</v>
      </c>
      <c r="J1666" s="396"/>
    </row>
    <row r="1667" spans="1:10" s="367" customFormat="1" ht="22.5" customHeight="1">
      <c r="A1667" s="395"/>
      <c r="B1667" s="401" t="s">
        <v>1391</v>
      </c>
      <c r="C1667" s="397">
        <v>1</v>
      </c>
      <c r="D1667" s="397">
        <v>2</v>
      </c>
      <c r="E1667" s="397">
        <v>1</v>
      </c>
      <c r="F1667" s="398">
        <v>8.39</v>
      </c>
      <c r="G1667" s="398" t="s">
        <v>26</v>
      </c>
      <c r="H1667" s="398">
        <v>0.47499999999999998</v>
      </c>
      <c r="I1667" s="399">
        <f t="shared" si="68"/>
        <v>7.97</v>
      </c>
      <c r="J1667" s="396"/>
    </row>
    <row r="1668" spans="1:10" s="367" customFormat="1" ht="22.5" customHeight="1">
      <c r="A1668" s="395"/>
      <c r="B1668" s="401" t="s">
        <v>1392</v>
      </c>
      <c r="C1668" s="397">
        <v>1</v>
      </c>
      <c r="D1668" s="397">
        <v>2</v>
      </c>
      <c r="E1668" s="397">
        <v>1</v>
      </c>
      <c r="F1668" s="398">
        <v>6.06</v>
      </c>
      <c r="G1668" s="398" t="s">
        <v>26</v>
      </c>
      <c r="H1668" s="398">
        <v>0.17499999999999999</v>
      </c>
      <c r="I1668" s="399">
        <f t="shared" si="68"/>
        <v>2.12</v>
      </c>
      <c r="J1668" s="396"/>
    </row>
    <row r="1669" spans="1:10" s="367" customFormat="1" ht="22.5" customHeight="1">
      <c r="A1669" s="395"/>
      <c r="B1669" s="401" t="s">
        <v>1392</v>
      </c>
      <c r="C1669" s="397">
        <v>1</v>
      </c>
      <c r="D1669" s="397">
        <v>2</v>
      </c>
      <c r="E1669" s="397">
        <v>2</v>
      </c>
      <c r="F1669" s="398">
        <v>2.85</v>
      </c>
      <c r="G1669" s="398" t="s">
        <v>26</v>
      </c>
      <c r="H1669" s="398">
        <v>0.27500000000000002</v>
      </c>
      <c r="I1669" s="399">
        <f t="shared" si="68"/>
        <v>3.14</v>
      </c>
      <c r="J1669" s="396"/>
    </row>
    <row r="1670" spans="1:10" s="367" customFormat="1" ht="22.5" customHeight="1">
      <c r="A1670" s="395"/>
      <c r="B1670" s="401" t="s">
        <v>1393</v>
      </c>
      <c r="C1670" s="397">
        <v>1</v>
      </c>
      <c r="D1670" s="397">
        <v>2</v>
      </c>
      <c r="E1670" s="397">
        <v>2</v>
      </c>
      <c r="F1670" s="398">
        <v>26.704999999999998</v>
      </c>
      <c r="G1670" s="398" t="s">
        <v>26</v>
      </c>
      <c r="H1670" s="398">
        <v>0.32500000000000001</v>
      </c>
      <c r="I1670" s="399">
        <f t="shared" si="68"/>
        <v>34.72</v>
      </c>
      <c r="J1670" s="396"/>
    </row>
    <row r="1671" spans="1:10" s="367" customFormat="1" ht="22.5" customHeight="1">
      <c r="A1671" s="395"/>
      <c r="B1671" s="401" t="s">
        <v>1394</v>
      </c>
      <c r="C1671" s="397">
        <v>1</v>
      </c>
      <c r="D1671" s="397">
        <v>2</v>
      </c>
      <c r="E1671" s="397">
        <v>1</v>
      </c>
      <c r="F1671" s="398">
        <v>4.2300000000000004</v>
      </c>
      <c r="G1671" s="398" t="s">
        <v>26</v>
      </c>
      <c r="H1671" s="398">
        <v>0.47499999999999998</v>
      </c>
      <c r="I1671" s="399">
        <f t="shared" si="68"/>
        <v>4.0199999999999996</v>
      </c>
      <c r="J1671" s="396"/>
    </row>
    <row r="1672" spans="1:10" s="367" customFormat="1" ht="22.5" customHeight="1">
      <c r="A1672" s="395"/>
      <c r="B1672" s="401" t="s">
        <v>1395</v>
      </c>
      <c r="C1672" s="397">
        <v>1</v>
      </c>
      <c r="D1672" s="397">
        <v>2</v>
      </c>
      <c r="E1672" s="397">
        <v>1</v>
      </c>
      <c r="F1672" s="398">
        <v>2.97</v>
      </c>
      <c r="G1672" s="398" t="s">
        <v>26</v>
      </c>
      <c r="H1672" s="398">
        <v>0.32500000000000001</v>
      </c>
      <c r="I1672" s="399">
        <f t="shared" si="68"/>
        <v>1.93</v>
      </c>
      <c r="J1672" s="396"/>
    </row>
    <row r="1673" spans="1:10" s="367" customFormat="1" ht="22.5" customHeight="1">
      <c r="A1673" s="395"/>
      <c r="B1673" s="401" t="s">
        <v>1396</v>
      </c>
      <c r="C1673" s="397">
        <v>1</v>
      </c>
      <c r="D1673" s="397">
        <v>2</v>
      </c>
      <c r="E1673" s="397">
        <v>1</v>
      </c>
      <c r="F1673" s="398">
        <v>7.62</v>
      </c>
      <c r="G1673" s="398" t="s">
        <v>26</v>
      </c>
      <c r="H1673" s="398">
        <v>0.47499999999999998</v>
      </c>
      <c r="I1673" s="399">
        <f t="shared" si="68"/>
        <v>7.24</v>
      </c>
      <c r="J1673" s="396"/>
    </row>
    <row r="1674" spans="1:10" s="367" customFormat="1" ht="22.5" customHeight="1">
      <c r="A1674" s="395"/>
      <c r="B1674" s="401" t="s">
        <v>1397</v>
      </c>
      <c r="C1674" s="397">
        <v>1</v>
      </c>
      <c r="D1674" s="397">
        <v>2</v>
      </c>
      <c r="E1674" s="397">
        <v>2</v>
      </c>
      <c r="F1674" s="398">
        <v>2.71</v>
      </c>
      <c r="G1674" s="398" t="s">
        <v>26</v>
      </c>
      <c r="H1674" s="398">
        <v>0.27500000000000002</v>
      </c>
      <c r="I1674" s="399">
        <f t="shared" si="68"/>
        <v>2.98</v>
      </c>
      <c r="J1674" s="396"/>
    </row>
    <row r="1675" spans="1:10" s="367" customFormat="1" ht="22.5" customHeight="1">
      <c r="A1675" s="395"/>
      <c r="B1675" s="401" t="s">
        <v>1388</v>
      </c>
      <c r="C1675" s="397">
        <v>1</v>
      </c>
      <c r="D1675" s="397">
        <v>2</v>
      </c>
      <c r="E1675" s="397">
        <v>3</v>
      </c>
      <c r="F1675" s="398">
        <v>3.165</v>
      </c>
      <c r="G1675" s="398" t="s">
        <v>26</v>
      </c>
      <c r="H1675" s="398">
        <v>0.47499999999999998</v>
      </c>
      <c r="I1675" s="399">
        <f t="shared" si="68"/>
        <v>9.02</v>
      </c>
      <c r="J1675" s="396"/>
    </row>
    <row r="1676" spans="1:10" s="367" customFormat="1" ht="22.5" customHeight="1">
      <c r="A1676" s="395"/>
      <c r="B1676" s="401" t="s">
        <v>1398</v>
      </c>
      <c r="C1676" s="397">
        <v>1</v>
      </c>
      <c r="D1676" s="397">
        <v>1</v>
      </c>
      <c r="E1676" s="397">
        <v>10</v>
      </c>
      <c r="F1676" s="398">
        <v>3.35</v>
      </c>
      <c r="G1676" s="398" t="s">
        <v>26</v>
      </c>
      <c r="H1676" s="398">
        <v>0.27500000000000002</v>
      </c>
      <c r="I1676" s="399">
        <f t="shared" si="68"/>
        <v>9.2100000000000009</v>
      </c>
      <c r="J1676" s="396"/>
    </row>
    <row r="1677" spans="1:10" s="367" customFormat="1" ht="22.5" customHeight="1">
      <c r="A1677" s="395"/>
      <c r="B1677" s="396" t="s">
        <v>944</v>
      </c>
      <c r="C1677" s="397"/>
      <c r="D1677" s="397"/>
      <c r="E1677" s="397"/>
      <c r="F1677" s="410"/>
      <c r="G1677" s="410"/>
      <c r="H1677" s="410"/>
      <c r="I1677" s="399"/>
      <c r="J1677" s="396"/>
    </row>
    <row r="1678" spans="1:10" s="367" customFormat="1" ht="22.5" customHeight="1">
      <c r="A1678" s="395"/>
      <c r="B1678" s="401" t="s">
        <v>1399</v>
      </c>
      <c r="C1678" s="397">
        <v>-1</v>
      </c>
      <c r="D1678" s="397">
        <v>1</v>
      </c>
      <c r="E1678" s="397">
        <v>2</v>
      </c>
      <c r="F1678" s="410">
        <v>3.06</v>
      </c>
      <c r="G1678" s="410">
        <v>2.13</v>
      </c>
      <c r="H1678" s="410" t="s">
        <v>26</v>
      </c>
      <c r="I1678" s="399">
        <f t="shared" si="67"/>
        <v>-13.04</v>
      </c>
      <c r="J1678" s="396"/>
    </row>
    <row r="1679" spans="1:10" s="367" customFormat="1" ht="22.5" customHeight="1">
      <c r="A1679" s="395"/>
      <c r="B1679" s="401" t="s">
        <v>1400</v>
      </c>
      <c r="C1679" s="397">
        <v>-1</v>
      </c>
      <c r="D1679" s="397">
        <v>1</v>
      </c>
      <c r="E1679" s="397">
        <v>1</v>
      </c>
      <c r="F1679" s="410">
        <v>3.46</v>
      </c>
      <c r="G1679" s="410">
        <v>2.5299999999999998</v>
      </c>
      <c r="H1679" s="410" t="s">
        <v>26</v>
      </c>
      <c r="I1679" s="399">
        <f t="shared" si="67"/>
        <v>-8.75</v>
      </c>
      <c r="J1679" s="396"/>
    </row>
    <row r="1680" spans="1:10" s="367" customFormat="1" ht="22.5" customHeight="1">
      <c r="A1680" s="395"/>
      <c r="B1680" s="401" t="s">
        <v>1401</v>
      </c>
      <c r="C1680" s="397">
        <v>-1</v>
      </c>
      <c r="D1680" s="397">
        <v>1</v>
      </c>
      <c r="E1680" s="397">
        <v>6</v>
      </c>
      <c r="F1680" s="410">
        <v>3.1</v>
      </c>
      <c r="G1680" s="410">
        <v>1.9</v>
      </c>
      <c r="H1680" s="410" t="s">
        <v>26</v>
      </c>
      <c r="I1680" s="399">
        <f t="shared" si="67"/>
        <v>-35.340000000000003</v>
      </c>
      <c r="J1680" s="396"/>
    </row>
    <row r="1681" spans="1:10" s="367" customFormat="1" ht="22.5" customHeight="1">
      <c r="A1681" s="395"/>
      <c r="B1681" s="401" t="s">
        <v>1401</v>
      </c>
      <c r="C1681" s="397">
        <v>-1</v>
      </c>
      <c r="D1681" s="397">
        <v>1</v>
      </c>
      <c r="E1681" s="397">
        <v>2</v>
      </c>
      <c r="F1681" s="410">
        <v>2.5</v>
      </c>
      <c r="G1681" s="410">
        <v>1.9</v>
      </c>
      <c r="H1681" s="410" t="s">
        <v>26</v>
      </c>
      <c r="I1681" s="399">
        <f t="shared" si="67"/>
        <v>-9.5</v>
      </c>
      <c r="J1681" s="396"/>
    </row>
    <row r="1682" spans="1:10" s="367" customFormat="1" ht="22.5" customHeight="1">
      <c r="A1682" s="395"/>
      <c r="B1682" s="401" t="s">
        <v>1401</v>
      </c>
      <c r="C1682" s="397">
        <v>-1</v>
      </c>
      <c r="D1682" s="397">
        <v>1</v>
      </c>
      <c r="E1682" s="397">
        <v>2</v>
      </c>
      <c r="F1682" s="410">
        <v>1.86</v>
      </c>
      <c r="G1682" s="410">
        <v>1.9</v>
      </c>
      <c r="H1682" s="410" t="s">
        <v>26</v>
      </c>
      <c r="I1682" s="399">
        <f t="shared" si="67"/>
        <v>-7.07</v>
      </c>
      <c r="J1682" s="396"/>
    </row>
    <row r="1683" spans="1:10" s="367" customFormat="1" ht="22.5" customHeight="1">
      <c r="A1683" s="395"/>
      <c r="B1683" s="401" t="s">
        <v>1401</v>
      </c>
      <c r="C1683" s="397">
        <v>-1</v>
      </c>
      <c r="D1683" s="397">
        <v>1</v>
      </c>
      <c r="E1683" s="397">
        <v>2</v>
      </c>
      <c r="F1683" s="410">
        <v>1.23</v>
      </c>
      <c r="G1683" s="410">
        <v>0.67</v>
      </c>
      <c r="H1683" s="410" t="s">
        <v>26</v>
      </c>
      <c r="I1683" s="399">
        <f t="shared" si="67"/>
        <v>-1.65</v>
      </c>
      <c r="J1683" s="396"/>
    </row>
    <row r="1684" spans="1:10" s="367" customFormat="1" ht="22.5" customHeight="1">
      <c r="A1684" s="395"/>
      <c r="B1684" s="401" t="s">
        <v>1401</v>
      </c>
      <c r="C1684" s="397">
        <v>-1</v>
      </c>
      <c r="D1684" s="410">
        <v>0.5</v>
      </c>
      <c r="E1684" s="397">
        <v>2</v>
      </c>
      <c r="F1684" s="410">
        <v>0.67</v>
      </c>
      <c r="G1684" s="410">
        <v>0.67</v>
      </c>
      <c r="H1684" s="410" t="s">
        <v>26</v>
      </c>
      <c r="I1684" s="399">
        <f t="shared" si="67"/>
        <v>-0.45</v>
      </c>
      <c r="J1684" s="396"/>
    </row>
    <row r="1685" spans="1:10" s="367" customFormat="1" ht="22.5" customHeight="1">
      <c r="A1685" s="395"/>
      <c r="B1685" s="401" t="s">
        <v>1402</v>
      </c>
      <c r="C1685" s="397">
        <v>-1</v>
      </c>
      <c r="D1685" s="397">
        <v>1</v>
      </c>
      <c r="E1685" s="397">
        <v>10</v>
      </c>
      <c r="F1685" s="410">
        <v>1.66</v>
      </c>
      <c r="G1685" s="398">
        <v>1.4450000000000001</v>
      </c>
      <c r="H1685" s="410" t="s">
        <v>26</v>
      </c>
      <c r="I1685" s="399">
        <f t="shared" si="67"/>
        <v>-23.99</v>
      </c>
      <c r="J1685" s="396"/>
    </row>
    <row r="1686" spans="1:10" s="367" customFormat="1" ht="22.5" customHeight="1">
      <c r="A1686" s="395"/>
      <c r="B1686" s="401" t="s">
        <v>971</v>
      </c>
      <c r="C1686" s="397">
        <v>-1</v>
      </c>
      <c r="D1686" s="397">
        <v>1</v>
      </c>
      <c r="E1686" s="397">
        <v>2</v>
      </c>
      <c r="F1686" s="398">
        <v>0.97</v>
      </c>
      <c r="G1686" s="398">
        <v>0.93500000000000005</v>
      </c>
      <c r="H1686" s="410" t="s">
        <v>26</v>
      </c>
      <c r="I1686" s="399">
        <f t="shared" si="67"/>
        <v>-1.81</v>
      </c>
      <c r="J1686" s="396"/>
    </row>
    <row r="1687" spans="1:10" s="367" customFormat="1" ht="22.5" customHeight="1">
      <c r="A1687" s="395"/>
      <c r="B1687" s="401" t="s">
        <v>1403</v>
      </c>
      <c r="C1687" s="397">
        <v>-1</v>
      </c>
      <c r="D1687" s="397">
        <v>1</v>
      </c>
      <c r="E1687" s="397">
        <v>2</v>
      </c>
      <c r="F1687" s="398">
        <v>0.69499999999999995</v>
      </c>
      <c r="G1687" s="398">
        <v>0.93500000000000005</v>
      </c>
      <c r="H1687" s="410" t="s">
        <v>26</v>
      </c>
      <c r="I1687" s="399">
        <f t="shared" si="67"/>
        <v>-1.3</v>
      </c>
      <c r="J1687" s="396"/>
    </row>
    <row r="1688" spans="1:10" s="367" customFormat="1" ht="22.5" customHeight="1">
      <c r="A1688" s="395"/>
      <c r="B1688" s="401" t="s">
        <v>1403</v>
      </c>
      <c r="C1688" s="397">
        <v>-1</v>
      </c>
      <c r="D1688" s="397">
        <v>1</v>
      </c>
      <c r="E1688" s="397">
        <v>4</v>
      </c>
      <c r="F1688" s="398">
        <v>0.75</v>
      </c>
      <c r="G1688" s="398">
        <v>0.63500000000000001</v>
      </c>
      <c r="H1688" s="410" t="s">
        <v>26</v>
      </c>
      <c r="I1688" s="399">
        <f t="shared" si="67"/>
        <v>-1.91</v>
      </c>
      <c r="J1688" s="396"/>
    </row>
    <row r="1689" spans="1:10" s="367" customFormat="1" ht="22.5" customHeight="1">
      <c r="A1689" s="395"/>
      <c r="B1689" s="401" t="s">
        <v>1403</v>
      </c>
      <c r="C1689" s="397">
        <v>-1</v>
      </c>
      <c r="D1689" s="397">
        <v>1</v>
      </c>
      <c r="E1689" s="397">
        <v>2</v>
      </c>
      <c r="F1689" s="398">
        <v>0.75</v>
      </c>
      <c r="G1689" s="398">
        <v>1.1499999999999999</v>
      </c>
      <c r="H1689" s="410" t="s">
        <v>26</v>
      </c>
      <c r="I1689" s="399">
        <f t="shared" si="67"/>
        <v>-1.73</v>
      </c>
      <c r="J1689" s="396"/>
    </row>
    <row r="1690" spans="1:10" s="367" customFormat="1" ht="22.5" customHeight="1">
      <c r="A1690" s="395"/>
      <c r="B1690" s="401" t="s">
        <v>1403</v>
      </c>
      <c r="C1690" s="397">
        <v>-1</v>
      </c>
      <c r="D1690" s="397">
        <v>1</v>
      </c>
      <c r="E1690" s="397">
        <v>2</v>
      </c>
      <c r="F1690" s="398">
        <v>0.63500000000000001</v>
      </c>
      <c r="G1690" s="398">
        <v>1.0049999999999999</v>
      </c>
      <c r="H1690" s="410" t="s">
        <v>26</v>
      </c>
      <c r="I1690" s="399">
        <f t="shared" si="67"/>
        <v>-1.28</v>
      </c>
      <c r="J1690" s="396"/>
    </row>
    <row r="1691" spans="1:10" s="367" customFormat="1" ht="22.5" customHeight="1">
      <c r="A1691" s="395"/>
      <c r="B1691" s="401" t="s">
        <v>1404</v>
      </c>
      <c r="C1691" s="397">
        <v>-1</v>
      </c>
      <c r="D1691" s="397">
        <v>1</v>
      </c>
      <c r="E1691" s="397">
        <v>2</v>
      </c>
      <c r="F1691" s="398">
        <v>0.63500000000000001</v>
      </c>
      <c r="G1691" s="398">
        <v>0.89500000000000002</v>
      </c>
      <c r="H1691" s="410" t="s">
        <v>26</v>
      </c>
      <c r="I1691" s="399">
        <f t="shared" si="67"/>
        <v>-1.1399999999999999</v>
      </c>
      <c r="J1691" s="396"/>
    </row>
    <row r="1692" spans="1:10" s="367" customFormat="1" ht="22.5" customHeight="1">
      <c r="A1692" s="395"/>
      <c r="B1692" s="401" t="s">
        <v>1405</v>
      </c>
      <c r="C1692" s="397">
        <v>-1</v>
      </c>
      <c r="D1692" s="397">
        <v>1</v>
      </c>
      <c r="E1692" s="397">
        <v>2</v>
      </c>
      <c r="F1692" s="398">
        <v>1.155</v>
      </c>
      <c r="G1692" s="398">
        <v>1.1499999999999999</v>
      </c>
      <c r="H1692" s="410" t="s">
        <v>26</v>
      </c>
      <c r="I1692" s="399">
        <f t="shared" si="67"/>
        <v>-2.66</v>
      </c>
      <c r="J1692" s="396"/>
    </row>
    <row r="1693" spans="1:10" s="367" customFormat="1" ht="22.5" customHeight="1">
      <c r="A1693" s="395"/>
      <c r="B1693" s="401" t="s">
        <v>1406</v>
      </c>
      <c r="C1693" s="397">
        <v>-1</v>
      </c>
      <c r="D1693" s="397">
        <v>1</v>
      </c>
      <c r="E1693" s="397">
        <v>2</v>
      </c>
      <c r="F1693" s="398">
        <v>3.645</v>
      </c>
      <c r="G1693" s="398">
        <v>1.9</v>
      </c>
      <c r="H1693" s="410" t="s">
        <v>26</v>
      </c>
      <c r="I1693" s="399">
        <f t="shared" si="67"/>
        <v>-13.85</v>
      </c>
      <c r="J1693" s="396"/>
    </row>
    <row r="1694" spans="1:10" s="367" customFormat="1" ht="22.5" customHeight="1">
      <c r="A1694" s="395"/>
      <c r="B1694" s="396" t="s">
        <v>1336</v>
      </c>
      <c r="C1694" s="397"/>
      <c r="D1694" s="397"/>
      <c r="E1694" s="397"/>
      <c r="F1694" s="410"/>
      <c r="G1694" s="410"/>
      <c r="H1694" s="398"/>
      <c r="I1694" s="399"/>
      <c r="J1694" s="396"/>
    </row>
    <row r="1695" spans="1:10" s="367" customFormat="1" ht="22.5" customHeight="1">
      <c r="A1695" s="395"/>
      <c r="B1695" s="401" t="s">
        <v>89</v>
      </c>
      <c r="C1695" s="397">
        <v>10</v>
      </c>
      <c r="D1695" s="397">
        <v>1</v>
      </c>
      <c r="E1695" s="397">
        <v>10</v>
      </c>
      <c r="F1695" s="410">
        <v>5.18</v>
      </c>
      <c r="G1695" s="410">
        <v>3.35</v>
      </c>
      <c r="H1695" s="410" t="s">
        <v>26</v>
      </c>
      <c r="I1695" s="399">
        <f t="shared" si="67"/>
        <v>1735.3</v>
      </c>
      <c r="J1695" s="396"/>
    </row>
    <row r="1696" spans="1:10" s="367" customFormat="1" ht="22.5" customHeight="1">
      <c r="A1696" s="395"/>
      <c r="B1696" s="401" t="s">
        <v>430</v>
      </c>
      <c r="C1696" s="397">
        <v>10</v>
      </c>
      <c r="D1696" s="397">
        <v>1</v>
      </c>
      <c r="E1696" s="397">
        <v>10</v>
      </c>
      <c r="F1696" s="410">
        <v>3.6</v>
      </c>
      <c r="G1696" s="410">
        <v>3.35</v>
      </c>
      <c r="H1696" s="410" t="s">
        <v>26</v>
      </c>
      <c r="I1696" s="399">
        <f t="shared" si="67"/>
        <v>1206</v>
      </c>
      <c r="J1696" s="396"/>
    </row>
    <row r="1697" spans="1:10" s="367" customFormat="1" ht="22.5" customHeight="1">
      <c r="A1697" s="395"/>
      <c r="B1697" s="401" t="s">
        <v>428</v>
      </c>
      <c r="C1697" s="397">
        <v>10</v>
      </c>
      <c r="D1697" s="397">
        <v>1</v>
      </c>
      <c r="E1697" s="397">
        <v>10</v>
      </c>
      <c r="F1697" s="410">
        <v>3.35</v>
      </c>
      <c r="G1697" s="410">
        <v>3.5</v>
      </c>
      <c r="H1697" s="410" t="s">
        <v>26</v>
      </c>
      <c r="I1697" s="399">
        <f t="shared" si="67"/>
        <v>1172.5</v>
      </c>
      <c r="J1697" s="396"/>
    </row>
    <row r="1698" spans="1:10" s="367" customFormat="1" ht="22.5" customHeight="1">
      <c r="A1698" s="395"/>
      <c r="B1698" s="401" t="s">
        <v>88</v>
      </c>
      <c r="C1698" s="397">
        <v>10</v>
      </c>
      <c r="D1698" s="397">
        <v>1</v>
      </c>
      <c r="E1698" s="397">
        <v>10</v>
      </c>
      <c r="F1698" s="410">
        <v>2.8</v>
      </c>
      <c r="G1698" s="410">
        <v>2.4</v>
      </c>
      <c r="H1698" s="410" t="s">
        <v>26</v>
      </c>
      <c r="I1698" s="399">
        <f t="shared" si="67"/>
        <v>672</v>
      </c>
      <c r="J1698" s="396"/>
    </row>
    <row r="1699" spans="1:10" s="367" customFormat="1" ht="22.5" customHeight="1">
      <c r="A1699" s="395"/>
      <c r="B1699" s="401" t="s">
        <v>1337</v>
      </c>
      <c r="C1699" s="397">
        <v>10</v>
      </c>
      <c r="D1699" s="397">
        <v>1</v>
      </c>
      <c r="E1699" s="397">
        <v>10</v>
      </c>
      <c r="F1699" s="410">
        <v>1.2</v>
      </c>
      <c r="G1699" s="410">
        <v>2.1</v>
      </c>
      <c r="H1699" s="410" t="s">
        <v>26</v>
      </c>
      <c r="I1699" s="399">
        <f t="shared" si="67"/>
        <v>252</v>
      </c>
      <c r="J1699" s="396"/>
    </row>
    <row r="1700" spans="1:10" s="367" customFormat="1" ht="22.5" customHeight="1">
      <c r="A1700" s="395"/>
      <c r="B1700" s="401" t="s">
        <v>83</v>
      </c>
      <c r="C1700" s="397">
        <v>10</v>
      </c>
      <c r="D1700" s="397">
        <v>1</v>
      </c>
      <c r="E1700" s="397">
        <v>10</v>
      </c>
      <c r="F1700" s="410">
        <v>1.2</v>
      </c>
      <c r="G1700" s="410">
        <v>1.4</v>
      </c>
      <c r="H1700" s="410" t="s">
        <v>26</v>
      </c>
      <c r="I1700" s="399">
        <f t="shared" si="67"/>
        <v>168</v>
      </c>
      <c r="J1700" s="396"/>
    </row>
    <row r="1701" spans="1:10" s="367" customFormat="1" ht="22.5" customHeight="1">
      <c r="A1701" s="395"/>
      <c r="B1701" s="401" t="s">
        <v>958</v>
      </c>
      <c r="C1701" s="397">
        <v>10</v>
      </c>
      <c r="D1701" s="397">
        <v>1</v>
      </c>
      <c r="E1701" s="397">
        <v>10</v>
      </c>
      <c r="F1701" s="410">
        <v>1.2</v>
      </c>
      <c r="G1701" s="410">
        <v>2.29</v>
      </c>
      <c r="H1701" s="410" t="s">
        <v>26</v>
      </c>
      <c r="I1701" s="399">
        <f t="shared" si="67"/>
        <v>274.8</v>
      </c>
      <c r="J1701" s="396"/>
    </row>
    <row r="1702" spans="1:10" s="367" customFormat="1" ht="22.5" customHeight="1">
      <c r="A1702" s="395"/>
      <c r="B1702" s="401" t="s">
        <v>1339</v>
      </c>
      <c r="C1702" s="397">
        <v>10</v>
      </c>
      <c r="D1702" s="397">
        <v>1</v>
      </c>
      <c r="E1702" s="397">
        <v>10</v>
      </c>
      <c r="F1702" s="410">
        <v>2.8</v>
      </c>
      <c r="G1702" s="410">
        <v>1.1000000000000001</v>
      </c>
      <c r="H1702" s="410" t="s">
        <v>26</v>
      </c>
      <c r="I1702" s="399">
        <f t="shared" si="67"/>
        <v>308</v>
      </c>
      <c r="J1702" s="396"/>
    </row>
    <row r="1703" spans="1:10" s="367" customFormat="1" ht="22.5" customHeight="1">
      <c r="A1703" s="395"/>
      <c r="B1703" s="401" t="s">
        <v>1407</v>
      </c>
      <c r="C1703" s="397">
        <v>10</v>
      </c>
      <c r="D1703" s="397">
        <v>1</v>
      </c>
      <c r="E1703" s="397">
        <v>10</v>
      </c>
      <c r="F1703" s="410">
        <v>2.02</v>
      </c>
      <c r="G1703" s="410">
        <v>1.62</v>
      </c>
      <c r="H1703" s="410" t="s">
        <v>26</v>
      </c>
      <c r="I1703" s="399">
        <f t="shared" si="67"/>
        <v>327.24</v>
      </c>
      <c r="J1703" s="396"/>
    </row>
    <row r="1704" spans="1:10" s="367" customFormat="1" ht="22.5" customHeight="1">
      <c r="A1704" s="395"/>
      <c r="B1704" s="401" t="s">
        <v>1408</v>
      </c>
      <c r="C1704" s="397">
        <v>10</v>
      </c>
      <c r="D1704" s="397">
        <v>1</v>
      </c>
      <c r="E1704" s="397">
        <v>1</v>
      </c>
      <c r="F1704" s="410">
        <v>27.62</v>
      </c>
      <c r="G1704" s="410">
        <v>1.8</v>
      </c>
      <c r="H1704" s="410" t="s">
        <v>26</v>
      </c>
      <c r="I1704" s="399">
        <f t="shared" si="67"/>
        <v>497.16</v>
      </c>
      <c r="J1704" s="396"/>
    </row>
    <row r="1705" spans="1:10" s="367" customFormat="1" ht="22.5" customHeight="1">
      <c r="A1705" s="395"/>
      <c r="B1705" s="401" t="s">
        <v>1409</v>
      </c>
      <c r="C1705" s="397">
        <v>10</v>
      </c>
      <c r="D1705" s="397">
        <v>2</v>
      </c>
      <c r="E1705" s="397">
        <v>1</v>
      </c>
      <c r="F1705" s="410">
        <v>3.49</v>
      </c>
      <c r="G1705" s="410">
        <v>2.13</v>
      </c>
      <c r="H1705" s="410" t="s">
        <v>26</v>
      </c>
      <c r="I1705" s="399">
        <f t="shared" si="67"/>
        <v>148.66999999999999</v>
      </c>
      <c r="J1705" s="396"/>
    </row>
    <row r="1706" spans="1:10" s="367" customFormat="1" ht="22.5" customHeight="1">
      <c r="A1706" s="395"/>
      <c r="B1706" s="401" t="s">
        <v>1410</v>
      </c>
      <c r="C1706" s="397">
        <v>10</v>
      </c>
      <c r="D1706" s="397">
        <v>2</v>
      </c>
      <c r="E1706" s="397">
        <v>1</v>
      </c>
      <c r="F1706" s="410">
        <v>1.2</v>
      </c>
      <c r="G1706" s="410">
        <v>1.17</v>
      </c>
      <c r="H1706" s="410" t="s">
        <v>26</v>
      </c>
      <c r="I1706" s="399">
        <f t="shared" si="67"/>
        <v>28.08</v>
      </c>
      <c r="J1706" s="396"/>
    </row>
    <row r="1707" spans="1:10" s="367" customFormat="1" ht="22.5" customHeight="1">
      <c r="A1707" s="395"/>
      <c r="B1707" s="401" t="s">
        <v>1411</v>
      </c>
      <c r="C1707" s="397">
        <v>10</v>
      </c>
      <c r="D1707" s="397">
        <v>1</v>
      </c>
      <c r="E1707" s="397">
        <v>1</v>
      </c>
      <c r="F1707" s="410">
        <v>4.99</v>
      </c>
      <c r="G1707" s="410">
        <v>4.8</v>
      </c>
      <c r="H1707" s="410" t="s">
        <v>26</v>
      </c>
      <c r="I1707" s="399">
        <f t="shared" si="67"/>
        <v>239.52</v>
      </c>
      <c r="J1707" s="396"/>
    </row>
    <row r="1708" spans="1:10" s="367" customFormat="1" ht="22.5" customHeight="1">
      <c r="A1708" s="395"/>
      <c r="B1708" s="401" t="s">
        <v>1412</v>
      </c>
      <c r="C1708" s="397">
        <v>10</v>
      </c>
      <c r="D1708" s="397">
        <v>1</v>
      </c>
      <c r="E1708" s="397">
        <v>1</v>
      </c>
      <c r="F1708" s="410">
        <v>6.2</v>
      </c>
      <c r="G1708" s="410">
        <v>6.06</v>
      </c>
      <c r="H1708" s="410" t="s">
        <v>26</v>
      </c>
      <c r="I1708" s="399">
        <f t="shared" si="67"/>
        <v>375.72</v>
      </c>
      <c r="J1708" s="396"/>
    </row>
    <row r="1709" spans="1:10" s="367" customFormat="1" ht="22.5" customHeight="1">
      <c r="A1709" s="395"/>
      <c r="B1709" s="401" t="s">
        <v>673</v>
      </c>
      <c r="C1709" s="397">
        <v>10</v>
      </c>
      <c r="D1709" s="397">
        <v>1</v>
      </c>
      <c r="E1709" s="397">
        <v>2</v>
      </c>
      <c r="F1709" s="410">
        <v>2.85</v>
      </c>
      <c r="G1709" s="410">
        <v>5.55</v>
      </c>
      <c r="H1709" s="410" t="s">
        <v>26</v>
      </c>
      <c r="I1709" s="399">
        <f t="shared" si="67"/>
        <v>316.35000000000002</v>
      </c>
      <c r="J1709" s="396"/>
    </row>
    <row r="1710" spans="1:10" s="367" customFormat="1" ht="22.5" customHeight="1">
      <c r="A1710" s="395"/>
      <c r="B1710" s="401" t="s">
        <v>1413</v>
      </c>
      <c r="C1710" s="397">
        <v>10</v>
      </c>
      <c r="D1710" s="397">
        <v>1</v>
      </c>
      <c r="E1710" s="397">
        <v>1</v>
      </c>
      <c r="F1710" s="410">
        <v>2.85</v>
      </c>
      <c r="G1710" s="410">
        <v>3.3</v>
      </c>
      <c r="H1710" s="410" t="s">
        <v>26</v>
      </c>
      <c r="I1710" s="399">
        <f t="shared" si="67"/>
        <v>94.05</v>
      </c>
      <c r="J1710" s="396"/>
    </row>
    <row r="1711" spans="1:10" s="367" customFormat="1" ht="22.5" customHeight="1">
      <c r="A1711" s="395"/>
      <c r="B1711" s="401" t="s">
        <v>1414</v>
      </c>
      <c r="C1711" s="397">
        <v>10</v>
      </c>
      <c r="D1711" s="397">
        <v>1</v>
      </c>
      <c r="E1711" s="397">
        <v>1</v>
      </c>
      <c r="F1711" s="410">
        <v>4.24</v>
      </c>
      <c r="G1711" s="410">
        <v>2.13</v>
      </c>
      <c r="H1711" s="410" t="s">
        <v>26</v>
      </c>
      <c r="I1711" s="399">
        <f t="shared" si="67"/>
        <v>90.31</v>
      </c>
      <c r="J1711" s="396"/>
    </row>
    <row r="1712" spans="1:10" s="367" customFormat="1" ht="22.5" customHeight="1">
      <c r="A1712" s="395"/>
      <c r="B1712" s="401" t="s">
        <v>1415</v>
      </c>
      <c r="C1712" s="397">
        <v>10</v>
      </c>
      <c r="D1712" s="397">
        <v>1</v>
      </c>
      <c r="E1712" s="397">
        <v>2</v>
      </c>
      <c r="F1712" s="410">
        <v>2.14</v>
      </c>
      <c r="G1712" s="410">
        <v>0.87</v>
      </c>
      <c r="H1712" s="410" t="s">
        <v>26</v>
      </c>
      <c r="I1712" s="399">
        <f t="shared" si="67"/>
        <v>37.24</v>
      </c>
      <c r="J1712" s="396"/>
    </row>
    <row r="1713" spans="1:10" s="367" customFormat="1" ht="22.5" customHeight="1">
      <c r="A1713" s="395"/>
      <c r="B1713" s="401" t="s">
        <v>1416</v>
      </c>
      <c r="C1713" s="397">
        <v>10</v>
      </c>
      <c r="D1713" s="397">
        <v>1</v>
      </c>
      <c r="E1713" s="397">
        <v>1</v>
      </c>
      <c r="F1713" s="410">
        <v>2.85</v>
      </c>
      <c r="G1713" s="410">
        <v>1.17</v>
      </c>
      <c r="H1713" s="410" t="s">
        <v>26</v>
      </c>
      <c r="I1713" s="399">
        <f t="shared" si="67"/>
        <v>33.35</v>
      </c>
      <c r="J1713" s="396"/>
    </row>
    <row r="1714" spans="1:10" s="367" customFormat="1" ht="22.5" customHeight="1">
      <c r="A1714" s="395"/>
      <c r="B1714" s="401" t="s">
        <v>1417</v>
      </c>
      <c r="C1714" s="397">
        <v>10</v>
      </c>
      <c r="D1714" s="397">
        <v>1</v>
      </c>
      <c r="E1714" s="397">
        <v>2</v>
      </c>
      <c r="F1714" s="410">
        <v>0.6</v>
      </c>
      <c r="G1714" s="410">
        <v>0.75</v>
      </c>
      <c r="H1714" s="410" t="s">
        <v>26</v>
      </c>
      <c r="I1714" s="399">
        <f t="shared" si="67"/>
        <v>9</v>
      </c>
      <c r="J1714" s="396"/>
    </row>
    <row r="1715" spans="1:10" s="367" customFormat="1" ht="22.5" customHeight="1">
      <c r="A1715" s="395"/>
      <c r="B1715" s="401" t="s">
        <v>1408</v>
      </c>
      <c r="C1715" s="397">
        <v>10</v>
      </c>
      <c r="D1715" s="397">
        <v>2</v>
      </c>
      <c r="E1715" s="397">
        <v>1</v>
      </c>
      <c r="F1715" s="410">
        <v>2.0299999999999998</v>
      </c>
      <c r="G1715" s="410">
        <v>1.8</v>
      </c>
      <c r="H1715" s="410" t="s">
        <v>26</v>
      </c>
      <c r="I1715" s="399">
        <f t="shared" si="67"/>
        <v>73.08</v>
      </c>
      <c r="J1715" s="396"/>
    </row>
    <row r="1716" spans="1:10" s="367" customFormat="1" ht="22.5" customHeight="1">
      <c r="A1716" s="395"/>
      <c r="B1716" s="396" t="s">
        <v>1418</v>
      </c>
      <c r="C1716" s="397"/>
      <c r="D1716" s="397"/>
      <c r="E1716" s="397"/>
      <c r="F1716" s="410"/>
      <c r="G1716" s="410"/>
      <c r="H1716" s="410"/>
      <c r="I1716" s="399"/>
      <c r="J1716" s="396"/>
    </row>
    <row r="1717" spans="1:10" s="367" customFormat="1" ht="22.5" customHeight="1">
      <c r="A1717" s="395"/>
      <c r="B1717" s="401" t="s">
        <v>430</v>
      </c>
      <c r="C1717" s="397">
        <v>10</v>
      </c>
      <c r="D1717" s="397">
        <v>1</v>
      </c>
      <c r="E1717" s="397">
        <v>10</v>
      </c>
      <c r="F1717" s="410">
        <v>3.35</v>
      </c>
      <c r="G1717" s="410">
        <v>0.6</v>
      </c>
      <c r="H1717" s="410" t="s">
        <v>26</v>
      </c>
      <c r="I1717" s="399">
        <f t="shared" si="67"/>
        <v>201</v>
      </c>
      <c r="J1717" s="396"/>
    </row>
    <row r="1718" spans="1:10" s="367" customFormat="1" ht="22.5" customHeight="1">
      <c r="A1718" s="395"/>
      <c r="B1718" s="401" t="s">
        <v>428</v>
      </c>
      <c r="C1718" s="397">
        <v>10</v>
      </c>
      <c r="D1718" s="397">
        <v>1</v>
      </c>
      <c r="E1718" s="397">
        <v>10</v>
      </c>
      <c r="F1718" s="410">
        <v>3.35</v>
      </c>
      <c r="G1718" s="410">
        <v>0.6</v>
      </c>
      <c r="H1718" s="410" t="s">
        <v>26</v>
      </c>
      <c r="I1718" s="399">
        <f t="shared" si="67"/>
        <v>201</v>
      </c>
      <c r="J1718" s="396"/>
    </row>
    <row r="1719" spans="1:10" s="367" customFormat="1" ht="22.5" customHeight="1">
      <c r="A1719" s="395"/>
      <c r="B1719" s="401" t="s">
        <v>88</v>
      </c>
      <c r="C1719" s="397">
        <v>10</v>
      </c>
      <c r="D1719" s="397">
        <v>1</v>
      </c>
      <c r="E1719" s="397">
        <v>10</v>
      </c>
      <c r="F1719" s="410">
        <v>4.5999999999999996</v>
      </c>
      <c r="G1719" s="410">
        <v>0.6</v>
      </c>
      <c r="H1719" s="410" t="s">
        <v>26</v>
      </c>
      <c r="I1719" s="399">
        <f t="shared" si="67"/>
        <v>276</v>
      </c>
      <c r="J1719" s="396"/>
    </row>
    <row r="1720" spans="1:10" s="367" customFormat="1" ht="22.5" customHeight="1">
      <c r="A1720" s="395"/>
      <c r="B1720" s="401" t="s">
        <v>1419</v>
      </c>
      <c r="C1720" s="397">
        <v>10</v>
      </c>
      <c r="D1720" s="397">
        <v>1</v>
      </c>
      <c r="E1720" s="397">
        <v>10</v>
      </c>
      <c r="F1720" s="410">
        <v>2.8</v>
      </c>
      <c r="G1720" s="410">
        <v>0.6</v>
      </c>
      <c r="H1720" s="410" t="s">
        <v>26</v>
      </c>
      <c r="I1720" s="399">
        <f t="shared" si="67"/>
        <v>168</v>
      </c>
      <c r="J1720" s="396"/>
    </row>
    <row r="1721" spans="1:10" s="367" customFormat="1" ht="22.5" customHeight="1">
      <c r="A1721" s="395"/>
      <c r="B1721" s="396" t="s">
        <v>1379</v>
      </c>
      <c r="C1721" s="397"/>
      <c r="D1721" s="397"/>
      <c r="E1721" s="397"/>
      <c r="F1721" s="410"/>
      <c r="G1721" s="410"/>
      <c r="H1721" s="410"/>
      <c r="I1721" s="399"/>
      <c r="J1721" s="396"/>
    </row>
    <row r="1722" spans="1:10" s="367" customFormat="1" ht="22.5" customHeight="1">
      <c r="A1722" s="395"/>
      <c r="B1722" s="401" t="s">
        <v>1380</v>
      </c>
      <c r="C1722" s="397">
        <v>10</v>
      </c>
      <c r="D1722" s="397">
        <v>2</v>
      </c>
      <c r="E1722" s="397">
        <v>2</v>
      </c>
      <c r="F1722" s="398">
        <v>2.85</v>
      </c>
      <c r="G1722" s="398" t="s">
        <v>26</v>
      </c>
      <c r="H1722" s="398">
        <v>0.32500000000000001</v>
      </c>
      <c r="I1722" s="399">
        <f t="shared" si="67"/>
        <v>37.049999999999997</v>
      </c>
      <c r="J1722" s="396"/>
    </row>
    <row r="1723" spans="1:10" s="367" customFormat="1" ht="22.5" customHeight="1">
      <c r="A1723" s="395"/>
      <c r="B1723" s="401" t="s">
        <v>1381</v>
      </c>
      <c r="C1723" s="397">
        <v>10</v>
      </c>
      <c r="D1723" s="397">
        <v>2</v>
      </c>
      <c r="E1723" s="397">
        <v>1</v>
      </c>
      <c r="F1723" s="398">
        <v>3.53</v>
      </c>
      <c r="G1723" s="398" t="s">
        <v>26</v>
      </c>
      <c r="H1723" s="398">
        <v>0.32500000000000001</v>
      </c>
      <c r="I1723" s="399">
        <f t="shared" si="67"/>
        <v>22.95</v>
      </c>
      <c r="J1723" s="396"/>
    </row>
    <row r="1724" spans="1:10" s="367" customFormat="1" ht="22.5" customHeight="1">
      <c r="A1724" s="395"/>
      <c r="B1724" s="401" t="s">
        <v>1391</v>
      </c>
      <c r="C1724" s="397">
        <v>10</v>
      </c>
      <c r="D1724" s="397">
        <v>2</v>
      </c>
      <c r="E1724" s="397">
        <v>1</v>
      </c>
      <c r="F1724" s="398">
        <v>8.39</v>
      </c>
      <c r="G1724" s="398" t="s">
        <v>26</v>
      </c>
      <c r="H1724" s="398">
        <v>0.47499999999999998</v>
      </c>
      <c r="I1724" s="399">
        <f t="shared" si="67"/>
        <v>79.709999999999994</v>
      </c>
      <c r="J1724" s="396"/>
    </row>
    <row r="1725" spans="1:10" s="367" customFormat="1" ht="22.5" customHeight="1">
      <c r="A1725" s="395"/>
      <c r="B1725" s="401" t="s">
        <v>1420</v>
      </c>
      <c r="C1725" s="397">
        <v>10</v>
      </c>
      <c r="D1725" s="397">
        <v>2</v>
      </c>
      <c r="E1725" s="397">
        <v>1</v>
      </c>
      <c r="F1725" s="398">
        <v>1.8</v>
      </c>
      <c r="G1725" s="398" t="s">
        <v>26</v>
      </c>
      <c r="H1725" s="398">
        <v>0.17499999999999999</v>
      </c>
      <c r="I1725" s="399">
        <f t="shared" si="67"/>
        <v>6.3</v>
      </c>
      <c r="J1725" s="396"/>
    </row>
    <row r="1726" spans="1:10" s="367" customFormat="1" ht="22.5" customHeight="1">
      <c r="A1726" s="395"/>
      <c r="B1726" s="401" t="s">
        <v>1420</v>
      </c>
      <c r="C1726" s="397">
        <v>10</v>
      </c>
      <c r="D1726" s="397">
        <v>2</v>
      </c>
      <c r="E1726" s="397">
        <v>1</v>
      </c>
      <c r="F1726" s="398">
        <v>1.8</v>
      </c>
      <c r="G1726" s="398" t="s">
        <v>26</v>
      </c>
      <c r="H1726" s="398">
        <v>0.47499999999999998</v>
      </c>
      <c r="I1726" s="399">
        <f t="shared" si="67"/>
        <v>17.100000000000001</v>
      </c>
      <c r="J1726" s="396"/>
    </row>
    <row r="1727" spans="1:10" s="367" customFormat="1" ht="22.5" customHeight="1">
      <c r="A1727" s="395"/>
      <c r="B1727" s="401" t="s">
        <v>1392</v>
      </c>
      <c r="C1727" s="397">
        <v>10</v>
      </c>
      <c r="D1727" s="397">
        <v>2</v>
      </c>
      <c r="E1727" s="397">
        <v>2</v>
      </c>
      <c r="F1727" s="398">
        <v>2.85</v>
      </c>
      <c r="G1727" s="398" t="s">
        <v>26</v>
      </c>
      <c r="H1727" s="398">
        <v>0.27500000000000002</v>
      </c>
      <c r="I1727" s="399">
        <f t="shared" si="67"/>
        <v>31.35</v>
      </c>
      <c r="J1727" s="396"/>
    </row>
    <row r="1728" spans="1:10" s="367" customFormat="1" ht="16.5">
      <c r="A1728" s="395"/>
      <c r="B1728" s="401" t="s">
        <v>1421</v>
      </c>
      <c r="C1728" s="397">
        <v>10</v>
      </c>
      <c r="D1728" s="397">
        <v>2</v>
      </c>
      <c r="E1728" s="397">
        <v>1</v>
      </c>
      <c r="F1728" s="398">
        <v>2.97</v>
      </c>
      <c r="G1728" s="398" t="s">
        <v>26</v>
      </c>
      <c r="H1728" s="398">
        <v>0.32500000000000001</v>
      </c>
      <c r="I1728" s="399">
        <f t="shared" si="67"/>
        <v>19.309999999999999</v>
      </c>
      <c r="J1728" s="396"/>
    </row>
    <row r="1729" spans="1:10" s="367" customFormat="1" ht="22.5" customHeight="1">
      <c r="A1729" s="395"/>
      <c r="B1729" s="396" t="s">
        <v>944</v>
      </c>
      <c r="C1729" s="397"/>
      <c r="D1729" s="397"/>
      <c r="E1729" s="397"/>
      <c r="F1729" s="410"/>
      <c r="G1729" s="410"/>
      <c r="H1729" s="410"/>
      <c r="I1729" s="399"/>
      <c r="J1729" s="396"/>
    </row>
    <row r="1730" spans="1:10" s="367" customFormat="1" ht="22.5" customHeight="1">
      <c r="A1730" s="395"/>
      <c r="B1730" s="401" t="s">
        <v>1422</v>
      </c>
      <c r="C1730" s="397">
        <v>-10</v>
      </c>
      <c r="D1730" s="397">
        <v>1</v>
      </c>
      <c r="E1730" s="397">
        <v>1</v>
      </c>
      <c r="F1730" s="410">
        <v>3.23</v>
      </c>
      <c r="G1730" s="410">
        <v>2.5299999999999998</v>
      </c>
      <c r="H1730" s="410" t="s">
        <v>26</v>
      </c>
      <c r="I1730" s="399">
        <f t="shared" si="67"/>
        <v>-81.72</v>
      </c>
      <c r="J1730" s="396"/>
    </row>
    <row r="1731" spans="1:10" s="367" customFormat="1" ht="22.5" customHeight="1">
      <c r="A1731" s="395"/>
      <c r="B1731" s="401" t="s">
        <v>945</v>
      </c>
      <c r="C1731" s="397">
        <v>-10</v>
      </c>
      <c r="D1731" s="397">
        <v>1</v>
      </c>
      <c r="E1731" s="397">
        <v>1</v>
      </c>
      <c r="F1731" s="410">
        <v>2.7</v>
      </c>
      <c r="G1731" s="410">
        <v>0.53</v>
      </c>
      <c r="H1731" s="410" t="s">
        <v>26</v>
      </c>
      <c r="I1731" s="399">
        <f>PRODUCT(C1731:H1731)</f>
        <v>-14.31</v>
      </c>
      <c r="J1731" s="396"/>
    </row>
    <row r="1732" spans="1:10" s="367" customFormat="1" ht="22.5" customHeight="1">
      <c r="A1732" s="395"/>
      <c r="B1732" s="401" t="s">
        <v>673</v>
      </c>
      <c r="C1732" s="397">
        <v>-10</v>
      </c>
      <c r="D1732" s="397">
        <v>1</v>
      </c>
      <c r="E1732" s="397">
        <v>1</v>
      </c>
      <c r="F1732" s="410">
        <v>2.7</v>
      </c>
      <c r="G1732" s="410">
        <v>0.15</v>
      </c>
      <c r="H1732" s="410" t="s">
        <v>26</v>
      </c>
      <c r="I1732" s="399">
        <f>PRODUCT(C1732:H1732)</f>
        <v>-4.05</v>
      </c>
      <c r="J1732" s="396"/>
    </row>
    <row r="1733" spans="1:10" s="367" customFormat="1" ht="22.5" customHeight="1">
      <c r="A1733" s="395"/>
      <c r="B1733" s="401" t="s">
        <v>1423</v>
      </c>
      <c r="C1733" s="397">
        <v>-10</v>
      </c>
      <c r="D1733" s="397">
        <v>1</v>
      </c>
      <c r="E1733" s="397">
        <v>4</v>
      </c>
      <c r="F1733" s="410" t="s">
        <v>26</v>
      </c>
      <c r="G1733" s="410">
        <v>0.23</v>
      </c>
      <c r="H1733" s="398">
        <v>0.27500000000000002</v>
      </c>
      <c r="I1733" s="399">
        <f>PRODUCT(C1733:H1733)</f>
        <v>-2.5299999999999998</v>
      </c>
      <c r="J1733" s="396"/>
    </row>
    <row r="1734" spans="1:10" s="367" customFormat="1" ht="22.5" customHeight="1">
      <c r="A1734" s="395"/>
      <c r="B1734" s="401" t="s">
        <v>1423</v>
      </c>
      <c r="C1734" s="397">
        <v>-10</v>
      </c>
      <c r="D1734" s="397">
        <v>1</v>
      </c>
      <c r="E1734" s="397">
        <v>1</v>
      </c>
      <c r="F1734" s="410" t="s">
        <v>26</v>
      </c>
      <c r="G1734" s="410">
        <v>0.23</v>
      </c>
      <c r="H1734" s="398">
        <v>0.32500000000000001</v>
      </c>
      <c r="I1734" s="399">
        <f>PRODUCT(C1734:H1734)</f>
        <v>-0.75</v>
      </c>
      <c r="J1734" s="396"/>
    </row>
    <row r="1735" spans="1:10" s="367" customFormat="1" ht="22.5" customHeight="1">
      <c r="A1735" s="395"/>
      <c r="B1735" s="396" t="s">
        <v>1424</v>
      </c>
      <c r="C1735" s="397"/>
      <c r="D1735" s="397"/>
      <c r="E1735" s="397"/>
      <c r="F1735" s="410"/>
      <c r="G1735" s="410"/>
      <c r="H1735" s="398"/>
      <c r="I1735" s="399"/>
      <c r="J1735" s="396"/>
    </row>
    <row r="1736" spans="1:10" s="367" customFormat="1" ht="22.5" customHeight="1">
      <c r="A1736" s="395"/>
      <c r="B1736" s="401" t="s">
        <v>1341</v>
      </c>
      <c r="C1736" s="397">
        <v>1</v>
      </c>
      <c r="D1736" s="397">
        <v>1</v>
      </c>
      <c r="E1736" s="397">
        <v>2</v>
      </c>
      <c r="F1736" s="410">
        <v>2.85</v>
      </c>
      <c r="G1736" s="410">
        <v>6.12</v>
      </c>
      <c r="H1736" s="410" t="s">
        <v>26</v>
      </c>
      <c r="I1736" s="399">
        <f t="shared" ref="I1736:I1750" si="69">PRODUCT(C1736:H1736)</f>
        <v>34.880000000000003</v>
      </c>
      <c r="J1736" s="396"/>
    </row>
    <row r="1737" spans="1:10" s="367" customFormat="1" ht="22.5" customHeight="1">
      <c r="A1737" s="395"/>
      <c r="B1737" s="401" t="s">
        <v>1341</v>
      </c>
      <c r="C1737" s="397">
        <v>1</v>
      </c>
      <c r="D1737" s="397">
        <v>2</v>
      </c>
      <c r="E1737" s="410">
        <v>0.5</v>
      </c>
      <c r="F1737" s="410">
        <v>0.91</v>
      </c>
      <c r="G1737" s="410">
        <v>0.91</v>
      </c>
      <c r="H1737" s="410" t="s">
        <v>26</v>
      </c>
      <c r="I1737" s="399">
        <f t="shared" si="69"/>
        <v>0.83</v>
      </c>
      <c r="J1737" s="396"/>
    </row>
    <row r="1738" spans="1:10" s="367" customFormat="1" ht="22.5" customHeight="1">
      <c r="A1738" s="395"/>
      <c r="B1738" s="401" t="s">
        <v>1341</v>
      </c>
      <c r="C1738" s="397">
        <v>1</v>
      </c>
      <c r="D1738" s="397">
        <v>2</v>
      </c>
      <c r="E1738" s="410">
        <v>0.5</v>
      </c>
      <c r="F1738" s="410">
        <v>0.56000000000000005</v>
      </c>
      <c r="G1738" s="410">
        <v>0.55000000000000004</v>
      </c>
      <c r="H1738" s="410" t="s">
        <v>26</v>
      </c>
      <c r="I1738" s="399">
        <f t="shared" si="69"/>
        <v>0.31</v>
      </c>
      <c r="J1738" s="396"/>
    </row>
    <row r="1739" spans="1:10" s="367" customFormat="1" ht="22.5" customHeight="1">
      <c r="A1739" s="395"/>
      <c r="B1739" s="401" t="s">
        <v>1342</v>
      </c>
      <c r="C1739" s="397">
        <v>1</v>
      </c>
      <c r="D1739" s="397">
        <v>1</v>
      </c>
      <c r="E1739" s="397">
        <v>1</v>
      </c>
      <c r="F1739" s="410">
        <v>2.6</v>
      </c>
      <c r="G1739" s="410">
        <v>6.06</v>
      </c>
      <c r="H1739" s="410" t="s">
        <v>26</v>
      </c>
      <c r="I1739" s="399">
        <f t="shared" si="69"/>
        <v>15.76</v>
      </c>
      <c r="J1739" s="396"/>
    </row>
    <row r="1740" spans="1:10" s="367" customFormat="1" ht="22.5" customHeight="1">
      <c r="A1740" s="395"/>
      <c r="B1740" s="401" t="s">
        <v>1343</v>
      </c>
      <c r="C1740" s="397">
        <v>1</v>
      </c>
      <c r="D1740" s="397">
        <v>1</v>
      </c>
      <c r="E1740" s="397">
        <v>1</v>
      </c>
      <c r="F1740" s="410">
        <v>6.15</v>
      </c>
      <c r="G1740" s="410">
        <v>2.2999999999999998</v>
      </c>
      <c r="H1740" s="410" t="s">
        <v>26</v>
      </c>
      <c r="I1740" s="399">
        <f t="shared" si="69"/>
        <v>14.15</v>
      </c>
      <c r="J1740" s="396"/>
    </row>
    <row r="1741" spans="1:10" s="367" customFormat="1" ht="22.5" customHeight="1">
      <c r="A1741" s="395"/>
      <c r="B1741" s="401" t="s">
        <v>1344</v>
      </c>
      <c r="C1741" s="397">
        <v>1</v>
      </c>
      <c r="D1741" s="397">
        <v>1</v>
      </c>
      <c r="E1741" s="397">
        <v>1</v>
      </c>
      <c r="F1741" s="410">
        <v>6.15</v>
      </c>
      <c r="G1741" s="410">
        <v>3.53</v>
      </c>
      <c r="H1741" s="410" t="s">
        <v>26</v>
      </c>
      <c r="I1741" s="399">
        <f t="shared" si="69"/>
        <v>21.71</v>
      </c>
      <c r="J1741" s="396"/>
    </row>
    <row r="1742" spans="1:10" s="367" customFormat="1" ht="22.5" customHeight="1">
      <c r="A1742" s="395"/>
      <c r="B1742" s="401" t="s">
        <v>1344</v>
      </c>
      <c r="C1742" s="397">
        <v>1</v>
      </c>
      <c r="D1742" s="397">
        <v>1</v>
      </c>
      <c r="E1742" s="397">
        <v>1</v>
      </c>
      <c r="F1742" s="410">
        <v>1.05</v>
      </c>
      <c r="G1742" s="410">
        <v>1.8</v>
      </c>
      <c r="H1742" s="410" t="s">
        <v>26</v>
      </c>
      <c r="I1742" s="399">
        <f t="shared" si="69"/>
        <v>1.89</v>
      </c>
      <c r="J1742" s="396"/>
    </row>
    <row r="1743" spans="1:10" s="367" customFormat="1" ht="22.5" customHeight="1">
      <c r="A1743" s="395"/>
      <c r="B1743" s="401" t="s">
        <v>1344</v>
      </c>
      <c r="C1743" s="397">
        <v>1</v>
      </c>
      <c r="D1743" s="397">
        <v>1</v>
      </c>
      <c r="E1743" s="397">
        <v>1</v>
      </c>
      <c r="F1743" s="410">
        <v>1.4</v>
      </c>
      <c r="G1743" s="410">
        <v>0.23</v>
      </c>
      <c r="H1743" s="410" t="s">
        <v>26</v>
      </c>
      <c r="I1743" s="399">
        <f t="shared" si="69"/>
        <v>0.32</v>
      </c>
      <c r="J1743" s="396"/>
    </row>
    <row r="1744" spans="1:10" s="367" customFormat="1" ht="22.5" customHeight="1">
      <c r="A1744" s="395"/>
      <c r="B1744" s="396" t="s">
        <v>1379</v>
      </c>
      <c r="C1744" s="397"/>
      <c r="D1744" s="397"/>
      <c r="E1744" s="397"/>
      <c r="F1744" s="410"/>
      <c r="G1744" s="410"/>
      <c r="H1744" s="398"/>
      <c r="I1744" s="399"/>
      <c r="J1744" s="396"/>
    </row>
    <row r="1745" spans="1:30" s="367" customFormat="1" ht="22.5" customHeight="1">
      <c r="A1745" s="395"/>
      <c r="B1745" s="401" t="s">
        <v>1380</v>
      </c>
      <c r="C1745" s="397">
        <v>1</v>
      </c>
      <c r="D1745" s="397">
        <v>2</v>
      </c>
      <c r="E1745" s="397">
        <v>2</v>
      </c>
      <c r="F1745" s="410">
        <v>2.85</v>
      </c>
      <c r="G1745" s="410" t="s">
        <v>26</v>
      </c>
      <c r="H1745" s="398">
        <v>0.32500000000000001</v>
      </c>
      <c r="I1745" s="399">
        <f t="shared" si="69"/>
        <v>3.71</v>
      </c>
      <c r="J1745" s="396"/>
    </row>
    <row r="1746" spans="1:30" s="367" customFormat="1" ht="22.5" customHeight="1">
      <c r="A1746" s="395"/>
      <c r="B1746" s="401" t="s">
        <v>1381</v>
      </c>
      <c r="C1746" s="397">
        <v>1</v>
      </c>
      <c r="D1746" s="397">
        <v>1</v>
      </c>
      <c r="E1746" s="397">
        <v>2</v>
      </c>
      <c r="F1746" s="410">
        <v>3.53</v>
      </c>
      <c r="G1746" s="410" t="s">
        <v>26</v>
      </c>
      <c r="H1746" s="398">
        <v>0.32500000000000001</v>
      </c>
      <c r="I1746" s="399">
        <f t="shared" si="69"/>
        <v>2.29</v>
      </c>
      <c r="J1746" s="396"/>
    </row>
    <row r="1747" spans="1:30" s="367" customFormat="1" ht="22.5" customHeight="1">
      <c r="A1747" s="395"/>
      <c r="B1747" s="401" t="s">
        <v>1425</v>
      </c>
      <c r="C1747" s="397">
        <v>1</v>
      </c>
      <c r="D1747" s="397">
        <v>1</v>
      </c>
      <c r="E1747" s="397">
        <v>2</v>
      </c>
      <c r="F1747" s="410">
        <v>4.2</v>
      </c>
      <c r="G1747" s="410" t="s">
        <v>26</v>
      </c>
      <c r="H1747" s="398">
        <v>0.32500000000000001</v>
      </c>
      <c r="I1747" s="399">
        <f t="shared" si="69"/>
        <v>2.73</v>
      </c>
      <c r="J1747" s="396"/>
    </row>
    <row r="1748" spans="1:30" s="367" customFormat="1" ht="22.5" customHeight="1">
      <c r="A1748" s="395"/>
      <c r="B1748" s="401" t="s">
        <v>1425</v>
      </c>
      <c r="C1748" s="397">
        <v>1</v>
      </c>
      <c r="D1748" s="397">
        <v>1</v>
      </c>
      <c r="E1748" s="397">
        <v>2</v>
      </c>
      <c r="F1748" s="410">
        <v>3.53</v>
      </c>
      <c r="G1748" s="410" t="s">
        <v>26</v>
      </c>
      <c r="H1748" s="398">
        <v>0.47499999999999998</v>
      </c>
      <c r="I1748" s="399">
        <f t="shared" si="69"/>
        <v>3.35</v>
      </c>
      <c r="J1748" s="396"/>
    </row>
    <row r="1749" spans="1:30" s="367" customFormat="1" ht="22.5" customHeight="1">
      <c r="A1749" s="395"/>
      <c r="B1749" s="401" t="s">
        <v>1399</v>
      </c>
      <c r="C1749" s="397">
        <v>1</v>
      </c>
      <c r="D1749" s="397">
        <v>2</v>
      </c>
      <c r="E1749" s="397">
        <v>2</v>
      </c>
      <c r="F1749" s="410">
        <v>2.6</v>
      </c>
      <c r="G1749" s="410" t="s">
        <v>26</v>
      </c>
      <c r="H1749" s="398">
        <v>0.27500000000000002</v>
      </c>
      <c r="I1749" s="399">
        <f t="shared" si="69"/>
        <v>2.86</v>
      </c>
      <c r="J1749" s="396"/>
    </row>
    <row r="1750" spans="1:30" s="367" customFormat="1" ht="22.5" customHeight="1">
      <c r="A1750" s="395"/>
      <c r="B1750" s="401" t="s">
        <v>1400</v>
      </c>
      <c r="C1750" s="397">
        <v>1</v>
      </c>
      <c r="D1750" s="397">
        <v>1</v>
      </c>
      <c r="E1750" s="397">
        <v>2</v>
      </c>
      <c r="F1750" s="410">
        <v>2.2999999999999998</v>
      </c>
      <c r="G1750" s="410" t="s">
        <v>26</v>
      </c>
      <c r="H1750" s="398">
        <v>0.27500000000000002</v>
      </c>
      <c r="I1750" s="399">
        <f t="shared" si="69"/>
        <v>1.27</v>
      </c>
      <c r="J1750" s="396"/>
    </row>
    <row r="1751" spans="1:30" s="5" customFormat="1" ht="23.25" customHeight="1">
      <c r="A1751" s="289"/>
      <c r="B1751" s="342"/>
      <c r="C1751" s="346"/>
      <c r="D1751" s="280"/>
      <c r="E1751" s="346"/>
      <c r="F1751" s="337"/>
      <c r="G1751" s="595" t="s">
        <v>311</v>
      </c>
      <c r="H1751" s="596"/>
      <c r="I1751" s="339">
        <f>SUM(I1636:I1750)</f>
        <v>10258.959999999999</v>
      </c>
      <c r="J1751" s="340" t="s">
        <v>42</v>
      </c>
      <c r="K1751" s="39"/>
      <c r="L1751" s="39"/>
      <c r="M1751" s="39"/>
      <c r="N1751" s="7"/>
      <c r="O1751" s="7"/>
      <c r="P1751" s="7"/>
      <c r="Q1751" s="7"/>
      <c r="R1751" s="7"/>
      <c r="S1751" s="7"/>
      <c r="T1751" s="7"/>
      <c r="U1751" s="7"/>
      <c r="V1751" s="7"/>
      <c r="W1751" s="7"/>
      <c r="X1751" s="7"/>
      <c r="Y1751" s="7"/>
      <c r="Z1751" s="7"/>
      <c r="AA1751" s="7"/>
      <c r="AB1751" s="7"/>
      <c r="AC1751" s="7"/>
      <c r="AD1751" s="7"/>
    </row>
    <row r="1752" spans="1:30" s="5" customFormat="1" ht="23.25" customHeight="1">
      <c r="A1752" s="289"/>
      <c r="B1752" s="342"/>
      <c r="C1752" s="346"/>
      <c r="D1752" s="280"/>
      <c r="E1752" s="346"/>
      <c r="F1752" s="337"/>
      <c r="G1752" s="339"/>
      <c r="H1752" s="518"/>
      <c r="I1752" s="339">
        <f>ROUNDUP(I1751,1)</f>
        <v>10259</v>
      </c>
      <c r="J1752" s="340"/>
      <c r="K1752" s="39"/>
      <c r="L1752" s="39"/>
      <c r="M1752" s="39"/>
      <c r="N1752" s="7"/>
      <c r="O1752" s="7"/>
      <c r="P1752" s="7"/>
      <c r="Q1752" s="7"/>
      <c r="R1752" s="7"/>
      <c r="S1752" s="7"/>
      <c r="T1752" s="7"/>
      <c r="U1752" s="7"/>
      <c r="V1752" s="7"/>
      <c r="W1752" s="7"/>
      <c r="X1752" s="7"/>
      <c r="Y1752" s="7"/>
      <c r="Z1752" s="7"/>
      <c r="AA1752" s="7"/>
      <c r="AB1752" s="7"/>
      <c r="AC1752" s="7"/>
      <c r="AD1752" s="7"/>
    </row>
    <row r="1753" spans="1:30" s="422" customFormat="1" ht="35.25" customHeight="1">
      <c r="A1753" s="395">
        <v>35.1</v>
      </c>
      <c r="B1753" s="396" t="s">
        <v>1446</v>
      </c>
      <c r="C1753" s="397"/>
      <c r="D1753" s="397"/>
      <c r="E1753" s="397"/>
      <c r="F1753" s="410"/>
      <c r="G1753" s="410"/>
      <c r="H1753" s="517"/>
      <c r="I1753" s="517"/>
      <c r="J1753" s="396"/>
    </row>
    <row r="1754" spans="1:30" s="422" customFormat="1" ht="22.5" customHeight="1">
      <c r="A1754" s="395"/>
      <c r="B1754" s="396" t="s">
        <v>1427</v>
      </c>
      <c r="C1754" s="397"/>
      <c r="D1754" s="397"/>
      <c r="E1754" s="397"/>
      <c r="F1754" s="410"/>
      <c r="G1754" s="498"/>
      <c r="H1754" s="517"/>
      <c r="I1754" s="517"/>
      <c r="J1754" s="396"/>
    </row>
    <row r="1755" spans="1:30" s="422" customFormat="1" ht="22.5" customHeight="1">
      <c r="A1755" s="395"/>
      <c r="B1755" s="396" t="s">
        <v>1424</v>
      </c>
      <c r="C1755" s="397"/>
      <c r="D1755" s="397"/>
      <c r="E1755" s="397"/>
      <c r="F1755" s="410"/>
      <c r="G1755" s="498"/>
      <c r="H1755" s="517"/>
      <c r="I1755" s="517"/>
      <c r="J1755" s="396"/>
    </row>
    <row r="1756" spans="1:30" s="422" customFormat="1" ht="22.5" customHeight="1">
      <c r="A1756" s="395"/>
      <c r="B1756" s="401" t="s">
        <v>1428</v>
      </c>
      <c r="C1756" s="397">
        <v>1</v>
      </c>
      <c r="D1756" s="397">
        <v>1</v>
      </c>
      <c r="E1756" s="397">
        <v>8</v>
      </c>
      <c r="F1756" s="410">
        <v>4.29</v>
      </c>
      <c r="G1756" s="410">
        <v>3.92</v>
      </c>
      <c r="H1756" s="410" t="s">
        <v>26</v>
      </c>
      <c r="I1756" s="399">
        <f t="shared" ref="I1756:I1763" si="70">PRODUCT(C1756:H1756)</f>
        <v>134.53</v>
      </c>
      <c r="J1756" s="396"/>
    </row>
    <row r="1757" spans="1:30" s="422" customFormat="1" ht="22.5" customHeight="1">
      <c r="A1757" s="395"/>
      <c r="B1757" s="401" t="s">
        <v>1429</v>
      </c>
      <c r="C1757" s="397">
        <v>1</v>
      </c>
      <c r="D1757" s="397">
        <v>1</v>
      </c>
      <c r="E1757" s="397">
        <v>2</v>
      </c>
      <c r="F1757" s="410">
        <v>3.92</v>
      </c>
      <c r="G1757" s="410">
        <v>9.36</v>
      </c>
      <c r="H1757" s="410" t="s">
        <v>26</v>
      </c>
      <c r="I1757" s="399">
        <f t="shared" si="70"/>
        <v>73.38</v>
      </c>
      <c r="J1757" s="396"/>
    </row>
    <row r="1758" spans="1:30" s="422" customFormat="1" ht="22.5" customHeight="1">
      <c r="A1758" s="395"/>
      <c r="B1758" s="401" t="s">
        <v>1430</v>
      </c>
      <c r="C1758" s="397">
        <v>1</v>
      </c>
      <c r="D1758" s="397">
        <v>1</v>
      </c>
      <c r="E1758" s="397">
        <v>8</v>
      </c>
      <c r="F1758" s="410">
        <v>14.59</v>
      </c>
      <c r="G1758" s="410" t="s">
        <v>26</v>
      </c>
      <c r="H1758" s="410">
        <v>0.3</v>
      </c>
      <c r="I1758" s="399">
        <f t="shared" si="70"/>
        <v>35.020000000000003</v>
      </c>
      <c r="J1758" s="396"/>
    </row>
    <row r="1759" spans="1:30" s="422" customFormat="1" ht="22.5" customHeight="1">
      <c r="A1759" s="395"/>
      <c r="B1759" s="401" t="s">
        <v>1431</v>
      </c>
      <c r="C1759" s="397">
        <v>1</v>
      </c>
      <c r="D1759" s="397">
        <v>1</v>
      </c>
      <c r="E1759" s="397">
        <v>2</v>
      </c>
      <c r="F1759" s="410">
        <v>16.600000000000001</v>
      </c>
      <c r="G1759" s="410" t="s">
        <v>26</v>
      </c>
      <c r="H1759" s="410">
        <v>0.3</v>
      </c>
      <c r="I1759" s="399">
        <f t="shared" si="70"/>
        <v>9.9600000000000009</v>
      </c>
      <c r="J1759" s="396"/>
    </row>
    <row r="1760" spans="1:30" s="422" customFormat="1" ht="22.5" customHeight="1">
      <c r="A1760" s="395"/>
      <c r="B1760" s="401" t="s">
        <v>1431</v>
      </c>
      <c r="C1760" s="397">
        <v>1</v>
      </c>
      <c r="D1760" s="397">
        <v>1</v>
      </c>
      <c r="E1760" s="397">
        <v>2</v>
      </c>
      <c r="F1760" s="410">
        <v>14.59</v>
      </c>
      <c r="G1760" s="410" t="s">
        <v>26</v>
      </c>
      <c r="H1760" s="410">
        <v>0.3</v>
      </c>
      <c r="I1760" s="399">
        <f t="shared" si="70"/>
        <v>8.75</v>
      </c>
      <c r="J1760" s="396"/>
    </row>
    <row r="1761" spans="1:30" s="422" customFormat="1" ht="22.5" customHeight="1">
      <c r="A1761" s="395"/>
      <c r="B1761" s="401" t="s">
        <v>1432</v>
      </c>
      <c r="C1761" s="397">
        <v>1</v>
      </c>
      <c r="D1761" s="397">
        <v>1</v>
      </c>
      <c r="E1761" s="397">
        <v>1</v>
      </c>
      <c r="F1761" s="410">
        <v>7.2</v>
      </c>
      <c r="G1761" s="410">
        <v>0.9</v>
      </c>
      <c r="H1761" s="410" t="s">
        <v>26</v>
      </c>
      <c r="I1761" s="399">
        <f t="shared" si="70"/>
        <v>6.48</v>
      </c>
      <c r="J1761" s="396"/>
    </row>
    <row r="1762" spans="1:30" s="422" customFormat="1" ht="22.5" customHeight="1">
      <c r="A1762" s="395"/>
      <c r="B1762" s="401" t="s">
        <v>1433</v>
      </c>
      <c r="C1762" s="397">
        <v>1</v>
      </c>
      <c r="D1762" s="397">
        <v>1</v>
      </c>
      <c r="E1762" s="397">
        <v>1</v>
      </c>
      <c r="F1762" s="410">
        <v>12.75</v>
      </c>
      <c r="G1762" s="410">
        <v>0.9</v>
      </c>
      <c r="H1762" s="410" t="s">
        <v>26</v>
      </c>
      <c r="I1762" s="399">
        <f t="shared" si="70"/>
        <v>11.48</v>
      </c>
      <c r="J1762" s="396"/>
    </row>
    <row r="1763" spans="1:30" s="422" customFormat="1" ht="22.5" customHeight="1">
      <c r="A1763" s="395"/>
      <c r="B1763" s="401" t="s">
        <v>1434</v>
      </c>
      <c r="C1763" s="397">
        <v>1</v>
      </c>
      <c r="D1763" s="397">
        <v>1</v>
      </c>
      <c r="E1763" s="397">
        <v>1</v>
      </c>
      <c r="F1763" s="410">
        <v>6</v>
      </c>
      <c r="G1763" s="410">
        <v>0.9</v>
      </c>
      <c r="H1763" s="410" t="s">
        <v>26</v>
      </c>
      <c r="I1763" s="399">
        <f t="shared" si="70"/>
        <v>5.4</v>
      </c>
      <c r="J1763" s="396"/>
    </row>
    <row r="1764" spans="1:30" s="422" customFormat="1" ht="22.5" customHeight="1">
      <c r="A1764" s="395"/>
      <c r="B1764" s="396" t="s">
        <v>944</v>
      </c>
      <c r="C1764" s="397"/>
      <c r="D1764" s="397"/>
      <c r="E1764" s="397"/>
      <c r="F1764" s="410"/>
      <c r="G1764" s="410"/>
      <c r="H1764" s="398"/>
      <c r="I1764" s="399"/>
      <c r="J1764" s="396"/>
    </row>
    <row r="1765" spans="1:30" s="422" customFormat="1" ht="22.5" customHeight="1">
      <c r="A1765" s="395"/>
      <c r="B1765" s="401" t="s">
        <v>512</v>
      </c>
      <c r="C1765" s="397">
        <v>-1</v>
      </c>
      <c r="D1765" s="397">
        <v>1</v>
      </c>
      <c r="E1765" s="397">
        <v>10</v>
      </c>
      <c r="F1765" s="410">
        <v>1.22</v>
      </c>
      <c r="G1765" s="410">
        <v>1.43</v>
      </c>
      <c r="H1765" s="398" t="s">
        <v>26</v>
      </c>
      <c r="I1765" s="399">
        <f>PRODUCT(C1765:H1765)</f>
        <v>-17.45</v>
      </c>
      <c r="J1765" s="396"/>
    </row>
    <row r="1766" spans="1:30" s="422" customFormat="1" ht="22.5" customHeight="1">
      <c r="A1766" s="395"/>
      <c r="B1766" s="401"/>
      <c r="C1766" s="397"/>
      <c r="D1766" s="397"/>
      <c r="E1766" s="397"/>
      <c r="F1766" s="410"/>
      <c r="G1766" s="498"/>
      <c r="H1766" s="517" t="s">
        <v>41</v>
      </c>
      <c r="I1766" s="517">
        <f>SUM(I1756:I1765)</f>
        <v>267.55</v>
      </c>
      <c r="J1766" s="396"/>
    </row>
    <row r="1767" spans="1:30" s="422" customFormat="1" ht="22.5" customHeight="1">
      <c r="A1767" s="395"/>
      <c r="B1767" s="401"/>
      <c r="C1767" s="397"/>
      <c r="D1767" s="397"/>
      <c r="E1767" s="397"/>
      <c r="F1767" s="410"/>
      <c r="G1767" s="498"/>
      <c r="H1767" s="517" t="s">
        <v>55</v>
      </c>
      <c r="I1767" s="517">
        <f>ROUNDUP(I1766,1)</f>
        <v>267.60000000000002</v>
      </c>
      <c r="J1767" s="396" t="s">
        <v>11</v>
      </c>
    </row>
    <row r="1768" spans="1:30" s="422" customFormat="1" ht="22.5" customHeight="1">
      <c r="A1768" s="395"/>
      <c r="B1768" s="401" t="s">
        <v>1617</v>
      </c>
      <c r="C1768" s="397"/>
      <c r="D1768" s="397"/>
      <c r="E1768" s="397"/>
      <c r="F1768" s="410"/>
      <c r="G1768" s="498"/>
      <c r="H1768" s="517"/>
      <c r="I1768" s="519"/>
      <c r="J1768" s="396"/>
    </row>
    <row r="1769" spans="1:30" s="422" customFormat="1" ht="22.5" customHeight="1">
      <c r="A1769" s="395"/>
      <c r="B1769" s="401"/>
      <c r="C1769" s="397"/>
      <c r="D1769" s="397"/>
      <c r="E1769" s="397"/>
      <c r="F1769" s="410"/>
      <c r="G1769" s="498"/>
      <c r="H1769" s="517"/>
      <c r="I1769" s="519">
        <f>I1767</f>
        <v>267.60000000000002</v>
      </c>
      <c r="J1769" s="396" t="s">
        <v>11</v>
      </c>
    </row>
    <row r="1770" spans="1:30" s="422" customFormat="1" ht="22.5" customHeight="1">
      <c r="A1770" s="395"/>
      <c r="B1770" s="401"/>
      <c r="C1770" s="397"/>
      <c r="D1770" s="397"/>
      <c r="E1770" s="397"/>
      <c r="F1770" s="410"/>
      <c r="G1770" s="498"/>
      <c r="H1770" s="517"/>
      <c r="I1770" s="519"/>
      <c r="J1770" s="396"/>
    </row>
    <row r="1771" spans="1:30" s="425" customFormat="1" ht="27.75" customHeight="1">
      <c r="A1771" s="370">
        <v>35.1</v>
      </c>
      <c r="B1771" s="319" t="s">
        <v>576</v>
      </c>
      <c r="C1771" s="346"/>
      <c r="D1771" s="280"/>
      <c r="E1771" s="346"/>
      <c r="F1771" s="337"/>
      <c r="G1771" s="337"/>
      <c r="H1771" s="412"/>
      <c r="I1771" s="339"/>
      <c r="J1771" s="284"/>
      <c r="K1771" s="423"/>
      <c r="L1771" s="423"/>
      <c r="M1771" s="423"/>
      <c r="N1771" s="424"/>
      <c r="O1771" s="424"/>
      <c r="P1771" s="424"/>
      <c r="Q1771" s="424"/>
      <c r="R1771" s="424"/>
      <c r="S1771" s="424"/>
      <c r="T1771" s="424"/>
      <c r="U1771" s="424"/>
      <c r="V1771" s="424"/>
      <c r="W1771" s="424"/>
      <c r="X1771" s="424"/>
      <c r="Y1771" s="424"/>
      <c r="Z1771" s="424"/>
      <c r="AA1771" s="424"/>
      <c r="AB1771" s="424"/>
      <c r="AC1771" s="424"/>
      <c r="AD1771" s="424"/>
    </row>
    <row r="1772" spans="1:30" s="367" customFormat="1" ht="22.5" customHeight="1">
      <c r="A1772" s="395"/>
      <c r="B1772" s="396" t="s">
        <v>1573</v>
      </c>
      <c r="C1772" s="397"/>
      <c r="D1772" s="397"/>
      <c r="E1772" s="397"/>
      <c r="F1772" s="410"/>
      <c r="G1772" s="410"/>
      <c r="H1772" s="395"/>
      <c r="I1772" s="517"/>
      <c r="J1772" s="396"/>
    </row>
    <row r="1773" spans="1:30" s="367" customFormat="1" ht="22.5" customHeight="1">
      <c r="A1773" s="395"/>
      <c r="B1773" s="401" t="s">
        <v>1399</v>
      </c>
      <c r="C1773" s="397">
        <v>1</v>
      </c>
      <c r="D1773" s="397">
        <v>1</v>
      </c>
      <c r="E1773" s="397">
        <v>2</v>
      </c>
      <c r="F1773" s="410">
        <v>2.6</v>
      </c>
      <c r="G1773" s="410">
        <v>1.9</v>
      </c>
      <c r="H1773" s="410" t="s">
        <v>26</v>
      </c>
      <c r="I1773" s="399">
        <f t="shared" ref="I1773:I1781" si="71">PRODUCT(C1773:H1773)</f>
        <v>9.8800000000000008</v>
      </c>
      <c r="J1773" s="396"/>
    </row>
    <row r="1774" spans="1:30" s="367" customFormat="1" ht="22.5" customHeight="1">
      <c r="A1774" s="395"/>
      <c r="B1774" s="401" t="s">
        <v>1574</v>
      </c>
      <c r="C1774" s="397">
        <v>1</v>
      </c>
      <c r="D1774" s="397">
        <v>1</v>
      </c>
      <c r="E1774" s="397">
        <v>2</v>
      </c>
      <c r="F1774" s="410">
        <v>9</v>
      </c>
      <c r="G1774" s="410" t="s">
        <v>26</v>
      </c>
      <c r="H1774" s="410">
        <v>1.65</v>
      </c>
      <c r="I1774" s="399">
        <f t="shared" si="71"/>
        <v>29.7</v>
      </c>
      <c r="J1774" s="396"/>
    </row>
    <row r="1775" spans="1:30" s="367" customFormat="1" ht="22.5" customHeight="1">
      <c r="A1775" s="395"/>
      <c r="B1775" s="401" t="s">
        <v>1331</v>
      </c>
      <c r="C1775" s="397">
        <v>1</v>
      </c>
      <c r="D1775" s="397">
        <v>1</v>
      </c>
      <c r="E1775" s="397">
        <v>1</v>
      </c>
      <c r="F1775" s="410">
        <v>2.2999999999999998</v>
      </c>
      <c r="G1775" s="410">
        <v>3</v>
      </c>
      <c r="H1775" s="410" t="s">
        <v>26</v>
      </c>
      <c r="I1775" s="399">
        <f t="shared" si="71"/>
        <v>6.9</v>
      </c>
      <c r="J1775" s="396"/>
    </row>
    <row r="1776" spans="1:30" s="367" customFormat="1" ht="22.5" customHeight="1">
      <c r="A1776" s="395"/>
      <c r="B1776" s="401" t="s">
        <v>1575</v>
      </c>
      <c r="C1776" s="397">
        <v>1</v>
      </c>
      <c r="D1776" s="397">
        <v>1</v>
      </c>
      <c r="E1776" s="397">
        <v>1</v>
      </c>
      <c r="F1776" s="410">
        <v>10.6</v>
      </c>
      <c r="G1776" s="410" t="s">
        <v>26</v>
      </c>
      <c r="H1776" s="410">
        <v>1.65</v>
      </c>
      <c r="I1776" s="399">
        <f t="shared" si="71"/>
        <v>17.489999999999998</v>
      </c>
      <c r="J1776" s="396"/>
    </row>
    <row r="1777" spans="1:30" s="367" customFormat="1" ht="22.5" customHeight="1">
      <c r="A1777" s="395"/>
      <c r="B1777" s="396" t="s">
        <v>1554</v>
      </c>
      <c r="C1777" s="397"/>
      <c r="D1777" s="397"/>
      <c r="E1777" s="397"/>
      <c r="F1777" s="410"/>
      <c r="G1777" s="410"/>
      <c r="H1777" s="410"/>
      <c r="I1777" s="399"/>
      <c r="J1777" s="396"/>
    </row>
    <row r="1778" spans="1:30" s="367" customFormat="1" ht="22.5" customHeight="1">
      <c r="A1778" s="395"/>
      <c r="B1778" s="401" t="s">
        <v>1428</v>
      </c>
      <c r="C1778" s="397">
        <v>1</v>
      </c>
      <c r="D1778" s="397">
        <v>1</v>
      </c>
      <c r="E1778" s="397">
        <v>10</v>
      </c>
      <c r="F1778" s="410">
        <v>3.47</v>
      </c>
      <c r="G1778" s="410">
        <v>3.83</v>
      </c>
      <c r="H1778" s="410" t="s">
        <v>26</v>
      </c>
      <c r="I1778" s="399">
        <f t="shared" si="71"/>
        <v>132.9</v>
      </c>
      <c r="J1778" s="396"/>
    </row>
    <row r="1779" spans="1:30" s="367" customFormat="1" ht="22.5" customHeight="1">
      <c r="A1779" s="395"/>
      <c r="B1779" s="401" t="s">
        <v>1576</v>
      </c>
      <c r="C1779" s="397">
        <v>1</v>
      </c>
      <c r="D1779" s="397">
        <v>1</v>
      </c>
      <c r="E1779" s="397">
        <v>10</v>
      </c>
      <c r="F1779" s="410">
        <v>14.59</v>
      </c>
      <c r="G1779" s="410" t="s">
        <v>26</v>
      </c>
      <c r="H1779" s="410">
        <v>1.2</v>
      </c>
      <c r="I1779" s="399">
        <f t="shared" si="71"/>
        <v>175.08</v>
      </c>
      <c r="J1779" s="396"/>
    </row>
    <row r="1780" spans="1:30" s="367" customFormat="1" ht="22.5" customHeight="1">
      <c r="A1780" s="395"/>
      <c r="B1780" s="401" t="s">
        <v>1577</v>
      </c>
      <c r="C1780" s="397">
        <v>1</v>
      </c>
      <c r="D1780" s="397">
        <v>1</v>
      </c>
      <c r="E1780" s="397">
        <v>2</v>
      </c>
      <c r="F1780" s="410">
        <v>3.47</v>
      </c>
      <c r="G1780" s="410">
        <v>4.84</v>
      </c>
      <c r="H1780" s="410" t="s">
        <v>26</v>
      </c>
      <c r="I1780" s="399">
        <f t="shared" si="71"/>
        <v>33.590000000000003</v>
      </c>
      <c r="J1780" s="396"/>
    </row>
    <row r="1781" spans="1:30" s="367" customFormat="1" ht="22.5" customHeight="1">
      <c r="A1781" s="395"/>
      <c r="B1781" s="401" t="s">
        <v>1578</v>
      </c>
      <c r="C1781" s="397">
        <v>1</v>
      </c>
      <c r="D1781" s="397">
        <v>1</v>
      </c>
      <c r="E1781" s="397">
        <v>2</v>
      </c>
      <c r="F1781" s="410">
        <v>16.600000000000001</v>
      </c>
      <c r="G1781" s="410" t="s">
        <v>26</v>
      </c>
      <c r="H1781" s="410">
        <v>1.2</v>
      </c>
      <c r="I1781" s="399">
        <f t="shared" si="71"/>
        <v>39.840000000000003</v>
      </c>
      <c r="J1781" s="396"/>
    </row>
    <row r="1782" spans="1:30" s="363" customFormat="1" ht="23.25" customHeight="1">
      <c r="A1782" s="289"/>
      <c r="B1782" s="342"/>
      <c r="C1782" s="346"/>
      <c r="D1782" s="280"/>
      <c r="E1782" s="346"/>
      <c r="F1782" s="337"/>
      <c r="G1782" s="337"/>
      <c r="H1782" s="412"/>
      <c r="I1782" s="339">
        <f>SUM(I1772:I1781)</f>
        <v>445.38</v>
      </c>
      <c r="J1782" s="343" t="s">
        <v>4</v>
      </c>
      <c r="K1782" s="161"/>
      <c r="L1782" s="161"/>
      <c r="M1782" s="161"/>
      <c r="N1782" s="362"/>
      <c r="O1782" s="362"/>
      <c r="P1782" s="362"/>
      <c r="Q1782" s="362"/>
      <c r="R1782" s="362"/>
      <c r="S1782" s="362"/>
      <c r="T1782" s="362"/>
      <c r="U1782" s="362"/>
      <c r="V1782" s="362"/>
      <c r="W1782" s="362"/>
      <c r="X1782" s="362"/>
      <c r="Y1782" s="362"/>
      <c r="Z1782" s="362"/>
      <c r="AA1782" s="362"/>
      <c r="AB1782" s="362"/>
      <c r="AC1782" s="362"/>
      <c r="AD1782" s="362"/>
    </row>
    <row r="1783" spans="1:30" s="363" customFormat="1" ht="23.25" customHeight="1">
      <c r="A1783" s="289"/>
      <c r="B1783" s="342"/>
      <c r="C1783" s="346"/>
      <c r="D1783" s="280"/>
      <c r="E1783" s="346"/>
      <c r="F1783" s="337"/>
      <c r="G1783" s="337"/>
      <c r="H1783" s="404" t="s">
        <v>55</v>
      </c>
      <c r="I1783" s="416">
        <f>ROUNDUP(I1782,1)</f>
        <v>445.4</v>
      </c>
      <c r="J1783" s="343" t="s">
        <v>4</v>
      </c>
      <c r="K1783" s="161"/>
      <c r="L1783" s="161"/>
      <c r="M1783" s="161"/>
      <c r="N1783" s="362"/>
      <c r="O1783" s="362"/>
      <c r="P1783" s="362"/>
      <c r="Q1783" s="362"/>
      <c r="R1783" s="362"/>
      <c r="S1783" s="362"/>
      <c r="T1783" s="362"/>
      <c r="U1783" s="362"/>
      <c r="V1783" s="362"/>
      <c r="W1783" s="362"/>
      <c r="X1783" s="362"/>
      <c r="Y1783" s="362"/>
      <c r="Z1783" s="362"/>
      <c r="AA1783" s="362"/>
      <c r="AB1783" s="362"/>
      <c r="AC1783" s="362"/>
      <c r="AD1783" s="362"/>
    </row>
    <row r="1784" spans="1:30" s="5" customFormat="1" ht="38.25" customHeight="1">
      <c r="A1784" s="289">
        <v>36</v>
      </c>
      <c r="B1784" s="319" t="s">
        <v>575</v>
      </c>
      <c r="C1784" s="346"/>
      <c r="D1784" s="280"/>
      <c r="E1784" s="346"/>
      <c r="F1784" s="337"/>
      <c r="G1784" s="337"/>
      <c r="H1784" s="337"/>
      <c r="I1784" s="347"/>
      <c r="J1784" s="284"/>
      <c r="K1784" s="43"/>
      <c r="L1784" s="43"/>
      <c r="M1784" s="43"/>
      <c r="N1784" s="7"/>
      <c r="O1784" s="7"/>
      <c r="P1784" s="7"/>
      <c r="Q1784" s="7"/>
      <c r="R1784" s="7"/>
      <c r="S1784" s="7"/>
      <c r="T1784" s="7"/>
      <c r="U1784" s="7"/>
      <c r="V1784" s="7"/>
      <c r="W1784" s="7"/>
      <c r="X1784" s="7"/>
      <c r="Y1784" s="7"/>
      <c r="Z1784" s="7"/>
      <c r="AA1784" s="7"/>
      <c r="AB1784" s="7"/>
      <c r="AC1784" s="7"/>
      <c r="AD1784" s="7"/>
    </row>
    <row r="1785" spans="1:30" s="5" customFormat="1" ht="23.25" customHeight="1">
      <c r="A1785" s="289"/>
      <c r="B1785" s="456" t="s">
        <v>218</v>
      </c>
      <c r="C1785" s="346"/>
      <c r="D1785" s="280"/>
      <c r="E1785" s="346"/>
      <c r="F1785" s="337"/>
      <c r="G1785" s="337"/>
      <c r="H1785" s="337"/>
      <c r="I1785" s="347"/>
      <c r="J1785" s="284"/>
      <c r="K1785" s="43"/>
      <c r="L1785" s="43"/>
      <c r="M1785" s="43"/>
      <c r="N1785" s="7"/>
      <c r="O1785" s="7"/>
      <c r="P1785" s="7"/>
      <c r="Q1785" s="7"/>
      <c r="R1785" s="7"/>
      <c r="S1785" s="7"/>
      <c r="T1785" s="7"/>
      <c r="U1785" s="7"/>
      <c r="V1785" s="7"/>
      <c r="W1785" s="7"/>
      <c r="X1785" s="7"/>
      <c r="Y1785" s="7"/>
      <c r="Z1785" s="7"/>
      <c r="AA1785" s="7"/>
      <c r="AB1785" s="7"/>
      <c r="AC1785" s="7"/>
      <c r="AD1785" s="7"/>
    </row>
    <row r="1786" spans="1:30" s="76" customFormat="1" ht="19.5" customHeight="1">
      <c r="A1786" s="307"/>
      <c r="B1786" s="302" t="s">
        <v>237</v>
      </c>
      <c r="C1786" s="307">
        <v>1</v>
      </c>
      <c r="D1786" s="307">
        <v>1</v>
      </c>
      <c r="E1786" s="307">
        <v>1</v>
      </c>
      <c r="F1786" s="300">
        <v>213.64599999999999</v>
      </c>
      <c r="G1786" s="307"/>
      <c r="H1786" s="308"/>
      <c r="I1786" s="520">
        <f>PRODUCT(C1786:H1786)</f>
        <v>213.64599999999999</v>
      </c>
      <c r="J1786" s="302"/>
      <c r="K1786" s="77"/>
      <c r="L1786" s="77"/>
      <c r="M1786" s="77"/>
    </row>
    <row r="1787" spans="1:30" s="5" customFormat="1" ht="19.5" customHeight="1">
      <c r="A1787" s="289"/>
      <c r="B1787" s="342"/>
      <c r="C1787" s="346"/>
      <c r="D1787" s="280"/>
      <c r="E1787" s="346"/>
      <c r="F1787" s="337"/>
      <c r="G1787" s="337"/>
      <c r="H1787" s="412" t="s">
        <v>60</v>
      </c>
      <c r="I1787" s="339">
        <f>SUM(I1786:I1786)</f>
        <v>213.65</v>
      </c>
      <c r="J1787" s="284"/>
      <c r="K1787" s="43"/>
      <c r="L1787" s="43"/>
      <c r="M1787" s="43"/>
      <c r="N1787" s="7"/>
      <c r="O1787" s="7"/>
      <c r="P1787" s="7"/>
      <c r="Q1787" s="7"/>
      <c r="R1787" s="7"/>
      <c r="S1787" s="7"/>
      <c r="T1787" s="7"/>
      <c r="U1787" s="7"/>
      <c r="V1787" s="7"/>
      <c r="W1787" s="7"/>
      <c r="X1787" s="7"/>
      <c r="Y1787" s="7"/>
      <c r="Z1787" s="7"/>
      <c r="AA1787" s="7"/>
      <c r="AB1787" s="7"/>
      <c r="AC1787" s="7"/>
      <c r="AD1787" s="7"/>
    </row>
    <row r="1788" spans="1:30" s="5" customFormat="1" ht="18" customHeight="1">
      <c r="A1788" s="289"/>
      <c r="B1788" s="342"/>
      <c r="C1788" s="346"/>
      <c r="D1788" s="280"/>
      <c r="E1788" s="346"/>
      <c r="F1788" s="337"/>
      <c r="G1788" s="337"/>
      <c r="H1788" s="412" t="s">
        <v>55</v>
      </c>
      <c r="I1788" s="416">
        <f>ROUNDUP(I1787,0)</f>
        <v>214</v>
      </c>
      <c r="J1788" s="287" t="s">
        <v>47</v>
      </c>
      <c r="K1788" s="42"/>
      <c r="L1788" s="42"/>
      <c r="M1788" s="42"/>
      <c r="N1788" s="7"/>
      <c r="O1788" s="7"/>
      <c r="P1788" s="7"/>
      <c r="Q1788" s="7"/>
      <c r="R1788" s="7"/>
      <c r="S1788" s="7"/>
      <c r="T1788" s="7"/>
      <c r="U1788" s="7"/>
      <c r="V1788" s="7"/>
      <c r="W1788" s="7"/>
      <c r="X1788" s="7"/>
      <c r="Y1788" s="7"/>
      <c r="Z1788" s="7"/>
      <c r="AA1788" s="7"/>
      <c r="AB1788" s="7"/>
      <c r="AC1788" s="7"/>
      <c r="AD1788" s="7"/>
    </row>
    <row r="1789" spans="1:30" s="5" customFormat="1" ht="23.25" customHeight="1">
      <c r="A1789" s="289"/>
      <c r="B1789" s="456" t="s">
        <v>217</v>
      </c>
      <c r="C1789" s="346"/>
      <c r="D1789" s="280"/>
      <c r="E1789" s="346"/>
      <c r="F1789" s="337"/>
      <c r="G1789" s="337"/>
      <c r="H1789" s="337"/>
      <c r="I1789" s="347"/>
      <c r="J1789" s="284"/>
      <c r="K1789" s="43"/>
      <c r="L1789" s="43"/>
      <c r="M1789" s="43"/>
      <c r="N1789" s="7"/>
      <c r="O1789" s="7"/>
      <c r="P1789" s="7"/>
      <c r="Q1789" s="7"/>
      <c r="R1789" s="7"/>
      <c r="S1789" s="7"/>
      <c r="T1789" s="7"/>
      <c r="U1789" s="7"/>
      <c r="V1789" s="7"/>
      <c r="W1789" s="7"/>
      <c r="X1789" s="7"/>
      <c r="Y1789" s="7"/>
      <c r="Z1789" s="7"/>
      <c r="AA1789" s="7"/>
      <c r="AB1789" s="7"/>
      <c r="AC1789" s="7"/>
      <c r="AD1789" s="7"/>
    </row>
    <row r="1790" spans="1:30" s="76" customFormat="1" ht="20.25" customHeight="1">
      <c r="A1790" s="321"/>
      <c r="B1790" s="319" t="s">
        <v>216</v>
      </c>
      <c r="C1790" s="307"/>
      <c r="D1790" s="321"/>
      <c r="E1790" s="321"/>
      <c r="F1790" s="444"/>
      <c r="G1790" s="444"/>
      <c r="H1790" s="444"/>
      <c r="I1790" s="418"/>
      <c r="J1790" s="302"/>
      <c r="K1790" s="77"/>
      <c r="L1790" s="77"/>
      <c r="M1790" s="77"/>
    </row>
    <row r="1791" spans="1:30" s="76" customFormat="1" ht="20.25" customHeight="1">
      <c r="A1791" s="307"/>
      <c r="B1791" s="302" t="s">
        <v>237</v>
      </c>
      <c r="C1791" s="307">
        <v>1</v>
      </c>
      <c r="D1791" s="307">
        <v>1</v>
      </c>
      <c r="E1791" s="307">
        <v>1</v>
      </c>
      <c r="F1791" s="300">
        <v>213.64599999999999</v>
      </c>
      <c r="G1791" s="307"/>
      <c r="H1791" s="308"/>
      <c r="I1791" s="323">
        <f>PRODUCT(C1791:H1791)</f>
        <v>213.65</v>
      </c>
      <c r="J1791" s="302"/>
      <c r="K1791" s="77"/>
      <c r="L1791" s="77"/>
      <c r="M1791" s="77"/>
    </row>
    <row r="1792" spans="1:30" s="76" customFormat="1" ht="20.25" customHeight="1">
      <c r="A1792" s="307"/>
      <c r="B1792" s="293" t="s">
        <v>211</v>
      </c>
      <c r="C1792" s="307">
        <v>1</v>
      </c>
      <c r="D1792" s="307">
        <v>10</v>
      </c>
      <c r="E1792" s="307">
        <v>2</v>
      </c>
      <c r="F1792" s="307">
        <v>0.71499999999999997</v>
      </c>
      <c r="G1792" s="307"/>
      <c r="H1792" s="308"/>
      <c r="I1792" s="323">
        <f>PRODUCT(C1792:H1792)</f>
        <v>14.3</v>
      </c>
      <c r="J1792" s="302"/>
      <c r="K1792" s="77"/>
      <c r="L1792" s="77"/>
      <c r="M1792" s="77"/>
    </row>
    <row r="1793" spans="1:30" s="76" customFormat="1" ht="20.25" customHeight="1">
      <c r="A1793" s="321"/>
      <c r="B1793" s="319" t="s">
        <v>215</v>
      </c>
      <c r="C1793" s="307"/>
      <c r="D1793" s="321"/>
      <c r="E1793" s="321"/>
      <c r="F1793" s="444"/>
      <c r="G1793" s="444"/>
      <c r="H1793" s="444"/>
      <c r="I1793" s="418"/>
      <c r="J1793" s="302"/>
      <c r="K1793" s="77"/>
      <c r="L1793" s="77"/>
      <c r="M1793" s="77"/>
    </row>
    <row r="1794" spans="1:30" s="76" customFormat="1" ht="20.25" customHeight="1">
      <c r="A1794" s="307"/>
      <c r="B1794" s="302" t="s">
        <v>237</v>
      </c>
      <c r="C1794" s="307">
        <v>2</v>
      </c>
      <c r="D1794" s="307">
        <v>1</v>
      </c>
      <c r="E1794" s="307">
        <v>1</v>
      </c>
      <c r="F1794" s="300">
        <v>213.64599999999999</v>
      </c>
      <c r="G1794" s="307"/>
      <c r="H1794" s="308"/>
      <c r="I1794" s="323">
        <f>PRODUCT(C1794:H1794)</f>
        <v>427.29</v>
      </c>
      <c r="J1794" s="302"/>
      <c r="K1794" s="77"/>
      <c r="L1794" s="77"/>
      <c r="M1794" s="77"/>
    </row>
    <row r="1795" spans="1:30" s="76" customFormat="1" ht="20.25" customHeight="1">
      <c r="A1795" s="307"/>
      <c r="B1795" s="293" t="s">
        <v>211</v>
      </c>
      <c r="C1795" s="307">
        <v>2</v>
      </c>
      <c r="D1795" s="307">
        <v>10</v>
      </c>
      <c r="E1795" s="307">
        <v>2</v>
      </c>
      <c r="F1795" s="307">
        <v>0.71499999999999997</v>
      </c>
      <c r="G1795" s="307"/>
      <c r="H1795" s="308"/>
      <c r="I1795" s="323">
        <f>PRODUCT(C1795:H1795)</f>
        <v>28.6</v>
      </c>
      <c r="J1795" s="302"/>
      <c r="K1795" s="77"/>
      <c r="L1795" s="77"/>
      <c r="M1795" s="77"/>
    </row>
    <row r="1796" spans="1:30" s="76" customFormat="1" ht="20.25" customHeight="1">
      <c r="A1796" s="321"/>
      <c r="B1796" s="319" t="s">
        <v>214</v>
      </c>
      <c r="C1796" s="307"/>
      <c r="D1796" s="321"/>
      <c r="E1796" s="321"/>
      <c r="F1796" s="444"/>
      <c r="G1796" s="444"/>
      <c r="H1796" s="444"/>
      <c r="I1796" s="418"/>
      <c r="J1796" s="302"/>
      <c r="K1796" s="77"/>
      <c r="L1796" s="77"/>
      <c r="M1796" s="77"/>
    </row>
    <row r="1797" spans="1:30" s="76" customFormat="1" ht="20.25" customHeight="1">
      <c r="A1797" s="307"/>
      <c r="B1797" s="302" t="s">
        <v>237</v>
      </c>
      <c r="C1797" s="307">
        <v>2</v>
      </c>
      <c r="D1797" s="307">
        <v>1</v>
      </c>
      <c r="E1797" s="307">
        <v>1</v>
      </c>
      <c r="F1797" s="300">
        <v>213.64599999999999</v>
      </c>
      <c r="G1797" s="307"/>
      <c r="H1797" s="308"/>
      <c r="I1797" s="323">
        <f>PRODUCT(C1797:H1797)</f>
        <v>427.29</v>
      </c>
      <c r="J1797" s="302"/>
      <c r="K1797" s="77"/>
      <c r="L1797" s="77"/>
      <c r="M1797" s="77"/>
    </row>
    <row r="1798" spans="1:30" s="76" customFormat="1" ht="20.25" customHeight="1">
      <c r="A1798" s="307"/>
      <c r="B1798" s="293" t="s">
        <v>211</v>
      </c>
      <c r="C1798" s="307">
        <v>2</v>
      </c>
      <c r="D1798" s="307">
        <v>10</v>
      </c>
      <c r="E1798" s="307">
        <v>2</v>
      </c>
      <c r="F1798" s="307">
        <v>0.71499999999999997</v>
      </c>
      <c r="G1798" s="307"/>
      <c r="H1798" s="308"/>
      <c r="I1798" s="323">
        <f>PRODUCT(C1798:H1798)</f>
        <v>28.6</v>
      </c>
      <c r="J1798" s="302"/>
      <c r="K1798" s="77"/>
      <c r="L1798" s="77"/>
      <c r="M1798" s="77"/>
    </row>
    <row r="1799" spans="1:30" s="76" customFormat="1" ht="20.25" customHeight="1">
      <c r="A1799" s="321"/>
      <c r="B1799" s="319" t="s">
        <v>213</v>
      </c>
      <c r="C1799" s="307"/>
      <c r="D1799" s="321"/>
      <c r="E1799" s="321"/>
      <c r="F1799" s="444"/>
      <c r="G1799" s="444"/>
      <c r="H1799" s="444"/>
      <c r="I1799" s="418"/>
      <c r="J1799" s="302"/>
      <c r="K1799" s="77"/>
      <c r="L1799" s="77"/>
      <c r="M1799" s="77"/>
    </row>
    <row r="1800" spans="1:30" s="76" customFormat="1" ht="20.25" customHeight="1">
      <c r="A1800" s="307"/>
      <c r="B1800" s="302" t="s">
        <v>237</v>
      </c>
      <c r="C1800" s="307">
        <v>2</v>
      </c>
      <c r="D1800" s="307">
        <v>1</v>
      </c>
      <c r="E1800" s="307">
        <v>1</v>
      </c>
      <c r="F1800" s="300">
        <v>213.64599999999999</v>
      </c>
      <c r="G1800" s="307"/>
      <c r="H1800" s="308"/>
      <c r="I1800" s="323">
        <f>PRODUCT(C1800:H1800)</f>
        <v>427.29</v>
      </c>
      <c r="J1800" s="302"/>
      <c r="K1800" s="77"/>
      <c r="L1800" s="77"/>
      <c r="M1800" s="77"/>
    </row>
    <row r="1801" spans="1:30" s="76" customFormat="1" ht="20.25" customHeight="1">
      <c r="A1801" s="307"/>
      <c r="B1801" s="293" t="s">
        <v>211</v>
      </c>
      <c r="C1801" s="307">
        <v>2</v>
      </c>
      <c r="D1801" s="307">
        <v>10</v>
      </c>
      <c r="E1801" s="307">
        <v>2</v>
      </c>
      <c r="F1801" s="307">
        <v>0.71499999999999997</v>
      </c>
      <c r="G1801" s="307"/>
      <c r="H1801" s="308"/>
      <c r="I1801" s="323">
        <f>PRODUCT(C1801:H1801)</f>
        <v>28.6</v>
      </c>
      <c r="J1801" s="302"/>
      <c r="K1801" s="77"/>
      <c r="L1801" s="77"/>
      <c r="M1801" s="77"/>
    </row>
    <row r="1802" spans="1:30" s="99" customFormat="1" ht="20.25" customHeight="1">
      <c r="A1802" s="289"/>
      <c r="B1802" s="293"/>
      <c r="C1802" s="294"/>
      <c r="D1802" s="280"/>
      <c r="E1802" s="294"/>
      <c r="F1802" s="338"/>
      <c r="G1802" s="338"/>
      <c r="H1802" s="404" t="s">
        <v>60</v>
      </c>
      <c r="I1802" s="339">
        <f>SUM(I1790:I1801)</f>
        <v>1595.62</v>
      </c>
      <c r="J1802" s="340"/>
      <c r="K1802" s="39"/>
      <c r="L1802" s="39"/>
      <c r="M1802" s="39"/>
      <c r="N1802" s="100"/>
      <c r="O1802" s="100"/>
      <c r="P1802" s="100"/>
      <c r="Q1802" s="100"/>
      <c r="R1802" s="100"/>
      <c r="S1802" s="100"/>
      <c r="T1802" s="100"/>
      <c r="U1802" s="100"/>
      <c r="V1802" s="100"/>
      <c r="W1802" s="100"/>
      <c r="X1802" s="100"/>
      <c r="Y1802" s="100"/>
      <c r="Z1802" s="100"/>
      <c r="AA1802" s="100"/>
      <c r="AB1802" s="100"/>
      <c r="AC1802" s="100"/>
      <c r="AD1802" s="100"/>
    </row>
    <row r="1803" spans="1:30" s="102" customFormat="1" ht="23.25" customHeight="1">
      <c r="A1803" s="289"/>
      <c r="B1803" s="293"/>
      <c r="C1803" s="294"/>
      <c r="D1803" s="280"/>
      <c r="E1803" s="294"/>
      <c r="F1803" s="338"/>
      <c r="G1803" s="338"/>
      <c r="H1803" s="404" t="s">
        <v>55</v>
      </c>
      <c r="I1803" s="416">
        <f>ROUNDUP(I1802,0)</f>
        <v>1596</v>
      </c>
      <c r="J1803" s="343" t="s">
        <v>47</v>
      </c>
      <c r="K1803" s="44"/>
      <c r="L1803" s="44"/>
      <c r="M1803" s="44"/>
      <c r="N1803" s="103"/>
      <c r="O1803" s="103"/>
      <c r="P1803" s="103"/>
      <c r="Q1803" s="103"/>
      <c r="R1803" s="103"/>
      <c r="S1803" s="103"/>
      <c r="T1803" s="103"/>
      <c r="U1803" s="103"/>
      <c r="V1803" s="103"/>
      <c r="W1803" s="103"/>
      <c r="X1803" s="103"/>
      <c r="Y1803" s="103"/>
      <c r="Z1803" s="103"/>
      <c r="AA1803" s="103"/>
      <c r="AB1803" s="103"/>
      <c r="AC1803" s="103"/>
      <c r="AD1803" s="103"/>
    </row>
    <row r="1804" spans="1:30" s="128" customFormat="1" ht="23.25" customHeight="1">
      <c r="A1804" s="289"/>
      <c r="B1804" s="456" t="s">
        <v>212</v>
      </c>
      <c r="C1804" s="346"/>
      <c r="D1804" s="280"/>
      <c r="E1804" s="346"/>
      <c r="F1804" s="337"/>
      <c r="G1804" s="337"/>
      <c r="H1804" s="337"/>
      <c r="I1804" s="496"/>
      <c r="J1804" s="284"/>
      <c r="K1804" s="274"/>
      <c r="L1804" s="274"/>
      <c r="M1804" s="274"/>
      <c r="N1804" s="129"/>
      <c r="O1804" s="129"/>
      <c r="P1804" s="129"/>
      <c r="Q1804" s="129"/>
      <c r="R1804" s="129"/>
      <c r="S1804" s="129"/>
      <c r="T1804" s="129"/>
      <c r="U1804" s="129"/>
      <c r="V1804" s="129"/>
      <c r="W1804" s="129"/>
      <c r="X1804" s="129"/>
      <c r="Y1804" s="129"/>
      <c r="Z1804" s="129"/>
      <c r="AA1804" s="129"/>
      <c r="AB1804" s="129"/>
      <c r="AC1804" s="129"/>
      <c r="AD1804" s="129"/>
    </row>
    <row r="1805" spans="1:30" s="585" customFormat="1" ht="20.25" customHeight="1">
      <c r="A1805" s="307"/>
      <c r="B1805" s="302" t="s">
        <v>237</v>
      </c>
      <c r="C1805" s="307">
        <v>2</v>
      </c>
      <c r="D1805" s="307">
        <v>1</v>
      </c>
      <c r="E1805" s="307">
        <v>1</v>
      </c>
      <c r="F1805" s="300">
        <v>213.64599999999999</v>
      </c>
      <c r="G1805" s="307"/>
      <c r="H1805" s="308"/>
      <c r="I1805" s="323">
        <f>PRODUCT(C1805:H1805)</f>
        <v>427.29</v>
      </c>
      <c r="J1805" s="302"/>
    </row>
    <row r="1806" spans="1:30" s="585" customFormat="1" ht="20.25" customHeight="1">
      <c r="A1806" s="307"/>
      <c r="B1806" s="293" t="s">
        <v>211</v>
      </c>
      <c r="C1806" s="307">
        <v>2</v>
      </c>
      <c r="D1806" s="307">
        <v>10</v>
      </c>
      <c r="E1806" s="307">
        <v>2</v>
      </c>
      <c r="F1806" s="307">
        <v>0.71499999999999997</v>
      </c>
      <c r="G1806" s="307"/>
      <c r="H1806" s="308"/>
      <c r="I1806" s="323">
        <f>PRODUCT(C1806:H1806)</f>
        <v>28.6</v>
      </c>
      <c r="J1806" s="302"/>
    </row>
    <row r="1807" spans="1:30" s="585" customFormat="1" ht="20.25" customHeight="1">
      <c r="A1807" s="307"/>
      <c r="B1807" s="293" t="s">
        <v>45</v>
      </c>
      <c r="C1807" s="307">
        <v>2</v>
      </c>
      <c r="D1807" s="307">
        <v>10</v>
      </c>
      <c r="E1807" s="307">
        <v>10</v>
      </c>
      <c r="F1807" s="586">
        <v>3</v>
      </c>
      <c r="G1807" s="307"/>
      <c r="H1807" s="308"/>
      <c r="I1807" s="323">
        <f>PRODUCT(C1807:H1807)</f>
        <v>600</v>
      </c>
      <c r="J1807" s="302"/>
    </row>
    <row r="1808" spans="1:30" s="128" customFormat="1" ht="23.25" customHeight="1">
      <c r="A1808" s="289"/>
      <c r="B1808" s="342"/>
      <c r="C1808" s="346"/>
      <c r="D1808" s="280"/>
      <c r="E1808" s="346"/>
      <c r="F1808" s="337"/>
      <c r="G1808" s="337"/>
      <c r="H1808" s="412"/>
      <c r="I1808" s="497">
        <f>SUM(I1805:I1807)</f>
        <v>1055.8900000000001</v>
      </c>
      <c r="J1808" s="284"/>
      <c r="K1808" s="274"/>
      <c r="L1808" s="274"/>
      <c r="M1808" s="274"/>
      <c r="N1808" s="129"/>
      <c r="O1808" s="129"/>
      <c r="P1808" s="129"/>
      <c r="Q1808" s="129"/>
      <c r="R1808" s="129"/>
      <c r="S1808" s="129"/>
      <c r="T1808" s="129"/>
      <c r="U1808" s="129"/>
      <c r="V1808" s="129"/>
      <c r="W1808" s="129"/>
      <c r="X1808" s="129"/>
      <c r="Y1808" s="129"/>
      <c r="Z1808" s="129"/>
      <c r="AA1808" s="129"/>
      <c r="AB1808" s="129"/>
      <c r="AC1808" s="129"/>
      <c r="AD1808" s="129"/>
    </row>
    <row r="1809" spans="1:30" s="128" customFormat="1" ht="23.25" customHeight="1">
      <c r="A1809" s="289"/>
      <c r="B1809" s="342"/>
      <c r="C1809" s="346"/>
      <c r="D1809" s="280"/>
      <c r="E1809" s="346"/>
      <c r="F1809" s="337"/>
      <c r="G1809" s="337"/>
      <c r="H1809" s="404" t="s">
        <v>55</v>
      </c>
      <c r="I1809" s="420">
        <f>ROUNDUP(I1808,1)</f>
        <v>1055.9000000000001</v>
      </c>
      <c r="J1809" s="343" t="s">
        <v>47</v>
      </c>
      <c r="K1809" s="344"/>
      <c r="L1809" s="344"/>
      <c r="M1809" s="344"/>
      <c r="N1809" s="129"/>
      <c r="O1809" s="129"/>
      <c r="P1809" s="129"/>
      <c r="Q1809" s="129"/>
      <c r="R1809" s="129"/>
      <c r="S1809" s="129"/>
      <c r="T1809" s="129"/>
      <c r="U1809" s="129"/>
      <c r="V1809" s="129"/>
      <c r="W1809" s="129"/>
      <c r="X1809" s="129"/>
      <c r="Y1809" s="129"/>
      <c r="Z1809" s="129"/>
      <c r="AA1809" s="129"/>
      <c r="AB1809" s="129"/>
      <c r="AC1809" s="129"/>
      <c r="AD1809" s="129"/>
    </row>
    <row r="1810" spans="1:30" s="5" customFormat="1" ht="23.25" customHeight="1">
      <c r="A1810" s="289"/>
      <c r="B1810" s="319" t="s">
        <v>1447</v>
      </c>
      <c r="C1810" s="346"/>
      <c r="D1810" s="280"/>
      <c r="E1810" s="346"/>
      <c r="F1810" s="337"/>
      <c r="G1810" s="337"/>
      <c r="H1810" s="337"/>
      <c r="I1810" s="347"/>
      <c r="J1810" s="284"/>
      <c r="K1810" s="43"/>
      <c r="L1810" s="43"/>
      <c r="M1810" s="43"/>
      <c r="N1810" s="7"/>
      <c r="O1810" s="7"/>
      <c r="P1810" s="7"/>
      <c r="Q1810" s="7"/>
      <c r="R1810" s="7"/>
      <c r="S1810" s="7"/>
      <c r="T1810" s="7"/>
      <c r="U1810" s="7"/>
      <c r="V1810" s="7"/>
      <c r="W1810" s="7"/>
      <c r="X1810" s="7"/>
      <c r="Y1810" s="7"/>
      <c r="Z1810" s="7"/>
      <c r="AA1810" s="7"/>
      <c r="AB1810" s="7"/>
      <c r="AC1810" s="7"/>
      <c r="AD1810" s="7"/>
    </row>
    <row r="1811" spans="1:30" s="5" customFormat="1" ht="23.25" customHeight="1">
      <c r="A1811" s="289"/>
      <c r="B1811" s="319" t="s">
        <v>952</v>
      </c>
      <c r="C1811" s="294"/>
      <c r="D1811" s="280"/>
      <c r="E1811" s="294"/>
      <c r="F1811" s="338"/>
      <c r="G1811" s="338"/>
      <c r="H1811" s="404"/>
      <c r="I1811" s="416">
        <f>I1752</f>
        <v>10259</v>
      </c>
      <c r="J1811" s="287" t="s">
        <v>42</v>
      </c>
      <c r="K1811" s="42"/>
      <c r="L1811" s="42"/>
      <c r="M1811" s="42"/>
      <c r="N1811" s="7"/>
      <c r="O1811" s="7"/>
      <c r="P1811" s="7"/>
      <c r="Q1811" s="7"/>
      <c r="R1811" s="7"/>
      <c r="S1811" s="7"/>
      <c r="T1811" s="7"/>
      <c r="U1811" s="7"/>
      <c r="V1811" s="7"/>
      <c r="W1811" s="7"/>
      <c r="X1811" s="7"/>
      <c r="Y1811" s="7"/>
      <c r="Z1811" s="7"/>
      <c r="AA1811" s="7"/>
      <c r="AB1811" s="7"/>
      <c r="AC1811" s="7"/>
      <c r="AD1811" s="7"/>
    </row>
    <row r="1812" spans="1:30" s="5" customFormat="1" ht="23.25" customHeight="1">
      <c r="A1812" s="289"/>
      <c r="B1812" s="319"/>
      <c r="C1812" s="294"/>
      <c r="D1812" s="280"/>
      <c r="E1812" s="294"/>
      <c r="F1812" s="338"/>
      <c r="G1812" s="338"/>
      <c r="H1812" s="404"/>
      <c r="I1812" s="416"/>
      <c r="J1812" s="287"/>
      <c r="K1812" s="42"/>
      <c r="L1812" s="42"/>
      <c r="M1812" s="42"/>
      <c r="N1812" s="7"/>
      <c r="O1812" s="7"/>
      <c r="P1812" s="7"/>
      <c r="Q1812" s="7"/>
      <c r="R1812" s="7"/>
      <c r="S1812" s="7"/>
      <c r="T1812" s="7"/>
      <c r="U1812" s="7"/>
      <c r="V1812" s="7"/>
      <c r="W1812" s="7"/>
      <c r="X1812" s="7"/>
      <c r="Y1812" s="7"/>
      <c r="Z1812" s="7"/>
      <c r="AA1812" s="7"/>
      <c r="AB1812" s="7"/>
      <c r="AC1812" s="7"/>
      <c r="AD1812" s="7"/>
    </row>
    <row r="1813" spans="1:30" s="5" customFormat="1" ht="23.25" customHeight="1">
      <c r="A1813" s="289">
        <v>39</v>
      </c>
      <c r="B1813" s="319" t="s">
        <v>44</v>
      </c>
      <c r="C1813" s="346"/>
      <c r="D1813" s="280"/>
      <c r="E1813" s="346"/>
      <c r="F1813" s="337"/>
      <c r="G1813" s="337"/>
      <c r="H1813" s="337"/>
      <c r="I1813" s="347"/>
      <c r="J1813" s="284"/>
      <c r="K1813" s="43"/>
      <c r="L1813" s="43"/>
      <c r="M1813" s="43"/>
      <c r="N1813" s="7"/>
      <c r="O1813" s="7"/>
      <c r="P1813" s="7"/>
      <c r="Q1813" s="7"/>
      <c r="R1813" s="7"/>
      <c r="S1813" s="7"/>
      <c r="T1813" s="7"/>
      <c r="U1813" s="7"/>
      <c r="V1813" s="7"/>
      <c r="W1813" s="7"/>
      <c r="X1813" s="7"/>
      <c r="Y1813" s="7"/>
      <c r="Z1813" s="7"/>
      <c r="AA1813" s="7"/>
      <c r="AB1813" s="7"/>
      <c r="AC1813" s="7"/>
      <c r="AD1813" s="7"/>
    </row>
    <row r="1814" spans="1:30" s="5" customFormat="1" ht="23.25" customHeight="1">
      <c r="A1814" s="289"/>
      <c r="B1814" s="319" t="s">
        <v>148</v>
      </c>
      <c r="C1814" s="346"/>
      <c r="D1814" s="280"/>
      <c r="E1814" s="346"/>
      <c r="F1814" s="337"/>
      <c r="G1814" s="338" t="s">
        <v>568</v>
      </c>
      <c r="H1814" s="337"/>
      <c r="I1814" s="347"/>
      <c r="J1814" s="284"/>
      <c r="K1814" s="43"/>
      <c r="L1814" s="43"/>
      <c r="M1814" s="43"/>
      <c r="N1814" s="7"/>
      <c r="O1814" s="7"/>
      <c r="P1814" s="7"/>
      <c r="Q1814" s="7"/>
      <c r="R1814" s="7"/>
      <c r="S1814" s="7"/>
      <c r="T1814" s="7"/>
      <c r="U1814" s="7"/>
      <c r="V1814" s="7"/>
      <c r="W1814" s="7"/>
      <c r="X1814" s="7"/>
      <c r="Y1814" s="7"/>
      <c r="Z1814" s="7"/>
      <c r="AA1814" s="7"/>
      <c r="AB1814" s="7"/>
      <c r="AC1814" s="7"/>
      <c r="AD1814" s="7"/>
    </row>
    <row r="1815" spans="1:30" s="5" customFormat="1" ht="23.25" customHeight="1">
      <c r="A1815" s="289"/>
      <c r="B1815" s="293" t="s">
        <v>567</v>
      </c>
      <c r="C1815" s="294">
        <v>1</v>
      </c>
      <c r="D1815" s="280">
        <v>1</v>
      </c>
      <c r="E1815" s="294">
        <v>4</v>
      </c>
      <c r="F1815" s="338">
        <v>1.5</v>
      </c>
      <c r="G1815" s="338">
        <v>18</v>
      </c>
      <c r="H1815" s="338">
        <v>1.35</v>
      </c>
      <c r="I1815" s="347">
        <f t="shared" ref="I1815:I1823" si="72">PRODUCT(C1815:H1815)</f>
        <v>145.80000000000001</v>
      </c>
      <c r="J1815" s="284"/>
      <c r="K1815" s="43"/>
      <c r="L1815" s="43"/>
      <c r="M1815" s="43"/>
      <c r="N1815" s="7"/>
      <c r="O1815" s="7"/>
      <c r="P1815" s="7"/>
      <c r="Q1815" s="7"/>
      <c r="R1815" s="7"/>
      <c r="S1815" s="7"/>
      <c r="T1815" s="7"/>
      <c r="U1815" s="7"/>
      <c r="V1815" s="7"/>
      <c r="W1815" s="7"/>
      <c r="X1815" s="7"/>
      <c r="Y1815" s="7"/>
      <c r="Z1815" s="7"/>
      <c r="AA1815" s="7"/>
      <c r="AB1815" s="7"/>
      <c r="AC1815" s="7"/>
      <c r="AD1815" s="7"/>
    </row>
    <row r="1816" spans="1:30" s="2" customFormat="1" ht="23.25" customHeight="1">
      <c r="A1816" s="289"/>
      <c r="B1816" s="293" t="s">
        <v>566</v>
      </c>
      <c r="C1816" s="294">
        <v>1</v>
      </c>
      <c r="D1816" s="280">
        <v>2</v>
      </c>
      <c r="E1816" s="294">
        <v>2</v>
      </c>
      <c r="F1816" s="338">
        <v>1.2</v>
      </c>
      <c r="G1816" s="338">
        <v>18</v>
      </c>
      <c r="H1816" s="338">
        <v>1.35</v>
      </c>
      <c r="I1816" s="347">
        <f t="shared" si="72"/>
        <v>116.64</v>
      </c>
      <c r="J1816" s="284"/>
      <c r="K1816" s="9"/>
      <c r="L1816" s="9"/>
      <c r="M1816" s="9"/>
      <c r="N1816" s="9"/>
      <c r="O1816" s="9"/>
      <c r="P1816" s="9"/>
      <c r="Q1816" s="9"/>
      <c r="R1816" s="9"/>
      <c r="S1816" s="9"/>
      <c r="T1816" s="9"/>
      <c r="U1816" s="9"/>
      <c r="V1816" s="9"/>
      <c r="W1816" s="9"/>
      <c r="X1816" s="9"/>
      <c r="Y1816" s="9"/>
      <c r="Z1816" s="9"/>
      <c r="AA1816" s="9"/>
    </row>
    <row r="1817" spans="1:30" s="2" customFormat="1" ht="23.25" customHeight="1">
      <c r="A1817" s="289"/>
      <c r="B1817" s="293" t="s">
        <v>565</v>
      </c>
      <c r="C1817" s="294">
        <v>1</v>
      </c>
      <c r="D1817" s="280">
        <v>1</v>
      </c>
      <c r="E1817" s="294">
        <v>2</v>
      </c>
      <c r="F1817" s="338">
        <v>1.8</v>
      </c>
      <c r="G1817" s="338">
        <v>18</v>
      </c>
      <c r="H1817" s="338">
        <v>1.35</v>
      </c>
      <c r="I1817" s="347">
        <f t="shared" si="72"/>
        <v>87.48</v>
      </c>
      <c r="J1817" s="284"/>
      <c r="K1817" s="9"/>
      <c r="L1817" s="9"/>
      <c r="M1817" s="9"/>
      <c r="N1817" s="9"/>
      <c r="O1817" s="9"/>
      <c r="P1817" s="9"/>
      <c r="Q1817" s="9"/>
      <c r="R1817" s="9"/>
      <c r="S1817" s="9"/>
      <c r="T1817" s="9"/>
      <c r="U1817" s="9"/>
      <c r="V1817" s="9"/>
      <c r="W1817" s="9"/>
      <c r="X1817" s="9"/>
      <c r="Y1817" s="9"/>
      <c r="Z1817" s="9"/>
      <c r="AA1817" s="9"/>
    </row>
    <row r="1818" spans="1:30" s="5" customFormat="1" ht="23.25" customHeight="1">
      <c r="A1818" s="289"/>
      <c r="B1818" s="293" t="s">
        <v>564</v>
      </c>
      <c r="C1818" s="294">
        <v>1</v>
      </c>
      <c r="D1818" s="280">
        <v>1</v>
      </c>
      <c r="E1818" s="294">
        <v>2</v>
      </c>
      <c r="F1818" s="338">
        <v>1</v>
      </c>
      <c r="G1818" s="338">
        <v>18</v>
      </c>
      <c r="H1818" s="338">
        <v>2.1</v>
      </c>
      <c r="I1818" s="347">
        <f t="shared" si="72"/>
        <v>75.599999999999994</v>
      </c>
      <c r="J1818" s="284"/>
      <c r="K1818" s="43"/>
      <c r="L1818" s="43"/>
      <c r="M1818" s="43"/>
      <c r="N1818" s="7"/>
      <c r="O1818" s="7"/>
      <c r="P1818" s="7"/>
      <c r="Q1818" s="7"/>
      <c r="R1818" s="7"/>
      <c r="S1818" s="7"/>
      <c r="T1818" s="7"/>
      <c r="U1818" s="7"/>
      <c r="V1818" s="7"/>
      <c r="W1818" s="7"/>
      <c r="X1818" s="7"/>
      <c r="Y1818" s="7"/>
      <c r="Z1818" s="7"/>
      <c r="AA1818" s="7"/>
      <c r="AB1818" s="7"/>
      <c r="AC1818" s="7"/>
      <c r="AD1818" s="7"/>
    </row>
    <row r="1819" spans="1:30" s="5" customFormat="1" ht="19.5" customHeight="1">
      <c r="A1819" s="289"/>
      <c r="B1819" s="293" t="s">
        <v>563</v>
      </c>
      <c r="C1819" s="294">
        <v>1</v>
      </c>
      <c r="D1819" s="280">
        <v>1</v>
      </c>
      <c r="E1819" s="294">
        <v>2</v>
      </c>
      <c r="F1819" s="338">
        <v>2.1</v>
      </c>
      <c r="G1819" s="338">
        <v>20</v>
      </c>
      <c r="H1819" s="338">
        <v>2.1</v>
      </c>
      <c r="I1819" s="347">
        <f t="shared" si="72"/>
        <v>176.4</v>
      </c>
      <c r="J1819" s="284"/>
      <c r="K1819" s="43"/>
      <c r="L1819" s="43"/>
      <c r="M1819" s="43"/>
      <c r="N1819" s="7"/>
      <c r="O1819" s="7"/>
      <c r="P1819" s="7"/>
      <c r="Q1819" s="7"/>
      <c r="R1819" s="7"/>
      <c r="S1819" s="7"/>
      <c r="T1819" s="7"/>
      <c r="U1819" s="7"/>
      <c r="V1819" s="7"/>
      <c r="W1819" s="7"/>
      <c r="X1819" s="7"/>
      <c r="Y1819" s="7"/>
      <c r="Z1819" s="7"/>
      <c r="AA1819" s="7"/>
      <c r="AB1819" s="7"/>
      <c r="AC1819" s="7"/>
      <c r="AD1819" s="7"/>
    </row>
    <row r="1820" spans="1:30" s="5" customFormat="1" ht="19.5" customHeight="1">
      <c r="A1820" s="289"/>
      <c r="B1820" s="293" t="s">
        <v>1451</v>
      </c>
      <c r="C1820" s="294">
        <v>1</v>
      </c>
      <c r="D1820" s="280">
        <v>1</v>
      </c>
      <c r="E1820" s="294">
        <v>2</v>
      </c>
      <c r="F1820" s="338">
        <v>0.75</v>
      </c>
      <c r="G1820" s="338">
        <v>15</v>
      </c>
      <c r="H1820" s="338">
        <v>0.75</v>
      </c>
      <c r="I1820" s="347">
        <f t="shared" si="72"/>
        <v>16.88</v>
      </c>
      <c r="J1820" s="284"/>
      <c r="K1820" s="43"/>
      <c r="L1820" s="43"/>
      <c r="M1820" s="43"/>
      <c r="N1820" s="7"/>
      <c r="O1820" s="7"/>
      <c r="P1820" s="7"/>
      <c r="Q1820" s="7"/>
      <c r="R1820" s="7"/>
      <c r="S1820" s="7"/>
      <c r="T1820" s="7"/>
      <c r="U1820" s="7"/>
      <c r="V1820" s="7"/>
      <c r="W1820" s="7"/>
      <c r="X1820" s="7"/>
      <c r="Y1820" s="7"/>
      <c r="Z1820" s="7"/>
      <c r="AA1820" s="7"/>
      <c r="AB1820" s="7"/>
      <c r="AC1820" s="7"/>
      <c r="AD1820" s="7"/>
    </row>
    <row r="1821" spans="1:30" s="5" customFormat="1" ht="19.5" customHeight="1">
      <c r="A1821" s="289"/>
      <c r="B1821" s="293" t="s">
        <v>945</v>
      </c>
      <c r="C1821" s="294">
        <v>1</v>
      </c>
      <c r="D1821" s="280">
        <v>1</v>
      </c>
      <c r="E1821" s="294">
        <v>1</v>
      </c>
      <c r="F1821" s="338">
        <v>2.4</v>
      </c>
      <c r="G1821" s="338">
        <v>18</v>
      </c>
      <c r="H1821" s="338">
        <v>1.35</v>
      </c>
      <c r="I1821" s="347">
        <f t="shared" si="72"/>
        <v>58.32</v>
      </c>
      <c r="J1821" s="284"/>
      <c r="K1821" s="43"/>
      <c r="L1821" s="43"/>
      <c r="M1821" s="43"/>
      <c r="N1821" s="7"/>
      <c r="O1821" s="7"/>
      <c r="P1821" s="7"/>
      <c r="Q1821" s="7"/>
      <c r="R1821" s="7"/>
      <c r="S1821" s="7"/>
      <c r="T1821" s="7"/>
      <c r="U1821" s="7"/>
      <c r="V1821" s="7"/>
      <c r="W1821" s="7"/>
      <c r="X1821" s="7"/>
      <c r="Y1821" s="7"/>
      <c r="Z1821" s="7"/>
      <c r="AA1821" s="7"/>
      <c r="AB1821" s="7"/>
      <c r="AC1821" s="7"/>
      <c r="AD1821" s="7"/>
    </row>
    <row r="1822" spans="1:30" s="5" customFormat="1" ht="19.5" customHeight="1">
      <c r="A1822" s="289"/>
      <c r="B1822" s="293"/>
      <c r="C1822" s="294">
        <v>1</v>
      </c>
      <c r="D1822" s="280">
        <v>1</v>
      </c>
      <c r="E1822" s="294">
        <v>1</v>
      </c>
      <c r="F1822" s="338">
        <v>3</v>
      </c>
      <c r="G1822" s="338">
        <v>18</v>
      </c>
      <c r="H1822" s="338">
        <v>1.35</v>
      </c>
      <c r="I1822" s="347">
        <f t="shared" si="72"/>
        <v>72.900000000000006</v>
      </c>
      <c r="J1822" s="284"/>
      <c r="K1822" s="43"/>
      <c r="L1822" s="43"/>
      <c r="M1822" s="43"/>
      <c r="N1822" s="7"/>
      <c r="O1822" s="7"/>
      <c r="P1822" s="7"/>
      <c r="Q1822" s="7"/>
      <c r="R1822" s="7"/>
      <c r="S1822" s="7"/>
      <c r="T1822" s="7"/>
      <c r="U1822" s="7"/>
      <c r="V1822" s="7"/>
      <c r="W1822" s="7"/>
      <c r="X1822" s="7"/>
      <c r="Y1822" s="7"/>
      <c r="Z1822" s="7"/>
      <c r="AA1822" s="7"/>
      <c r="AB1822" s="7"/>
      <c r="AC1822" s="7"/>
      <c r="AD1822" s="7"/>
    </row>
    <row r="1823" spans="1:30" s="5" customFormat="1" ht="19.5" customHeight="1">
      <c r="A1823" s="289"/>
      <c r="B1823" s="293" t="s">
        <v>1462</v>
      </c>
      <c r="C1823" s="294">
        <v>1</v>
      </c>
      <c r="D1823" s="280">
        <v>1</v>
      </c>
      <c r="E1823" s="294">
        <v>1</v>
      </c>
      <c r="F1823" s="338">
        <v>1.5</v>
      </c>
      <c r="G1823" s="338">
        <v>18</v>
      </c>
      <c r="H1823" s="338">
        <v>2.1</v>
      </c>
      <c r="I1823" s="347">
        <f t="shared" si="72"/>
        <v>56.7</v>
      </c>
      <c r="J1823" s="284"/>
      <c r="K1823" s="43"/>
      <c r="L1823" s="43"/>
      <c r="M1823" s="43"/>
      <c r="N1823" s="7"/>
      <c r="O1823" s="7"/>
      <c r="P1823" s="7"/>
      <c r="Q1823" s="7"/>
      <c r="R1823" s="7"/>
      <c r="S1823" s="7"/>
      <c r="T1823" s="7"/>
      <c r="U1823" s="7"/>
      <c r="V1823" s="7"/>
      <c r="W1823" s="7"/>
      <c r="X1823" s="7"/>
      <c r="Y1823" s="7"/>
      <c r="Z1823" s="7"/>
      <c r="AA1823" s="7"/>
      <c r="AB1823" s="7"/>
      <c r="AC1823" s="7"/>
      <c r="AD1823" s="7"/>
    </row>
    <row r="1824" spans="1:30" s="5" customFormat="1" ht="23.25" customHeight="1">
      <c r="A1824" s="294"/>
      <c r="B1824" s="319" t="s">
        <v>874</v>
      </c>
      <c r="C1824" s="294"/>
      <c r="D1824" s="280"/>
      <c r="E1824" s="294"/>
      <c r="F1824" s="338"/>
      <c r="G1824" s="338"/>
      <c r="H1824" s="338"/>
      <c r="I1824" s="347"/>
      <c r="J1824" s="284"/>
      <c r="K1824" s="43"/>
      <c r="L1824" s="43"/>
      <c r="M1824" s="43"/>
      <c r="N1824" s="7"/>
      <c r="O1824" s="7"/>
      <c r="P1824" s="7"/>
      <c r="Q1824" s="7"/>
      <c r="R1824" s="7"/>
      <c r="S1824" s="7"/>
      <c r="T1824" s="7"/>
      <c r="U1824" s="7"/>
      <c r="V1824" s="7"/>
      <c r="W1824" s="7"/>
      <c r="X1824" s="7"/>
      <c r="Y1824" s="7"/>
      <c r="Z1824" s="7"/>
      <c r="AA1824" s="7"/>
      <c r="AB1824" s="7"/>
      <c r="AC1824" s="7"/>
      <c r="AD1824" s="7"/>
    </row>
    <row r="1825" spans="1:10" s="367" customFormat="1" ht="22.5" customHeight="1">
      <c r="A1825" s="395"/>
      <c r="B1825" s="401" t="s">
        <v>1442</v>
      </c>
      <c r="C1825" s="397">
        <v>100</v>
      </c>
      <c r="D1825" s="397">
        <v>1</v>
      </c>
      <c r="E1825" s="397">
        <v>1</v>
      </c>
      <c r="F1825" s="410">
        <v>1</v>
      </c>
      <c r="G1825" s="410">
        <v>20</v>
      </c>
      <c r="H1825" s="410">
        <v>2.1</v>
      </c>
      <c r="I1825" s="399">
        <f t="shared" ref="I1825:I1852" si="73">PRODUCT(C1825:H1825)</f>
        <v>4200</v>
      </c>
      <c r="J1825" s="396"/>
    </row>
    <row r="1826" spans="1:10" s="367" customFormat="1" ht="22.5" customHeight="1">
      <c r="A1826" s="395"/>
      <c r="B1826" s="401" t="s">
        <v>1442</v>
      </c>
      <c r="C1826" s="397">
        <v>2</v>
      </c>
      <c r="D1826" s="397">
        <v>1</v>
      </c>
      <c r="E1826" s="397">
        <v>1</v>
      </c>
      <c r="F1826" s="410">
        <v>1</v>
      </c>
      <c r="G1826" s="410">
        <v>20</v>
      </c>
      <c r="H1826" s="410">
        <v>2.1</v>
      </c>
      <c r="I1826" s="399">
        <f t="shared" si="73"/>
        <v>84</v>
      </c>
      <c r="J1826" s="396"/>
    </row>
    <row r="1827" spans="1:10" s="367" customFormat="1" ht="22.5" customHeight="1">
      <c r="A1827" s="395"/>
      <c r="B1827" s="401" t="s">
        <v>1448</v>
      </c>
      <c r="C1827" s="397">
        <v>100</v>
      </c>
      <c r="D1827" s="397">
        <v>1</v>
      </c>
      <c r="E1827" s="397">
        <v>1</v>
      </c>
      <c r="F1827" s="410">
        <v>1</v>
      </c>
      <c r="G1827" s="410">
        <v>15</v>
      </c>
      <c r="H1827" s="410">
        <v>0.6</v>
      </c>
      <c r="I1827" s="399">
        <f t="shared" si="73"/>
        <v>900</v>
      </c>
      <c r="J1827" s="396"/>
    </row>
    <row r="1828" spans="1:10" s="367" customFormat="1" ht="22.5" customHeight="1">
      <c r="A1828" s="395"/>
      <c r="B1828" s="401" t="s">
        <v>1449</v>
      </c>
      <c r="C1828" s="397">
        <v>100</v>
      </c>
      <c r="D1828" s="397">
        <v>1</v>
      </c>
      <c r="E1828" s="397">
        <v>1</v>
      </c>
      <c r="F1828" s="410">
        <v>1.5</v>
      </c>
      <c r="G1828" s="410">
        <v>18</v>
      </c>
      <c r="H1828" s="410">
        <v>1.8</v>
      </c>
      <c r="I1828" s="399">
        <f t="shared" si="73"/>
        <v>4860</v>
      </c>
      <c r="J1828" s="396"/>
    </row>
    <row r="1829" spans="1:10" s="367" customFormat="1" ht="22.5" customHeight="1">
      <c r="A1829" s="395"/>
      <c r="B1829" s="401" t="s">
        <v>1450</v>
      </c>
      <c r="C1829" s="397">
        <v>100</v>
      </c>
      <c r="D1829" s="397">
        <v>1</v>
      </c>
      <c r="E1829" s="397">
        <v>1</v>
      </c>
      <c r="F1829" s="410">
        <v>1.1000000000000001</v>
      </c>
      <c r="G1829" s="410">
        <v>18</v>
      </c>
      <c r="H1829" s="410">
        <v>1.05</v>
      </c>
      <c r="I1829" s="399">
        <f t="shared" si="73"/>
        <v>2079</v>
      </c>
      <c r="J1829" s="396"/>
    </row>
    <row r="1830" spans="1:10" s="367" customFormat="1" ht="22.5" customHeight="1">
      <c r="A1830" s="395"/>
      <c r="B1830" s="401" t="s">
        <v>1440</v>
      </c>
      <c r="C1830" s="397">
        <v>100</v>
      </c>
      <c r="D1830" s="397">
        <v>1</v>
      </c>
      <c r="E1830" s="397">
        <v>1</v>
      </c>
      <c r="F1830" s="410">
        <v>1.8</v>
      </c>
      <c r="G1830" s="410">
        <v>18</v>
      </c>
      <c r="H1830" s="410">
        <v>1.35</v>
      </c>
      <c r="I1830" s="399">
        <f t="shared" si="73"/>
        <v>4374</v>
      </c>
      <c r="J1830" s="396"/>
    </row>
    <row r="1831" spans="1:10" s="367" customFormat="1" ht="22.5" customHeight="1">
      <c r="A1831" s="395"/>
      <c r="B1831" s="401" t="s">
        <v>1436</v>
      </c>
      <c r="C1831" s="397">
        <v>100</v>
      </c>
      <c r="D1831" s="397">
        <v>1</v>
      </c>
      <c r="E1831" s="397">
        <v>1</v>
      </c>
      <c r="F1831" s="410">
        <v>1.5</v>
      </c>
      <c r="G1831" s="410">
        <v>18</v>
      </c>
      <c r="H1831" s="410">
        <v>1.35</v>
      </c>
      <c r="I1831" s="399">
        <f t="shared" si="73"/>
        <v>3645</v>
      </c>
      <c r="J1831" s="396"/>
    </row>
    <row r="1832" spans="1:10" s="367" customFormat="1" ht="22.5" customHeight="1">
      <c r="A1832" s="395"/>
      <c r="B1832" s="401" t="s">
        <v>1451</v>
      </c>
      <c r="C1832" s="397">
        <v>100</v>
      </c>
      <c r="D1832" s="397">
        <v>2</v>
      </c>
      <c r="E1832" s="397">
        <v>1</v>
      </c>
      <c r="F1832" s="410">
        <v>0.75</v>
      </c>
      <c r="G1832" s="410">
        <v>15</v>
      </c>
      <c r="H1832" s="410">
        <v>0.75</v>
      </c>
      <c r="I1832" s="399">
        <f t="shared" si="73"/>
        <v>1687.5</v>
      </c>
      <c r="J1832" s="396"/>
    </row>
    <row r="1833" spans="1:10" s="367" customFormat="1" ht="22.5" customHeight="1">
      <c r="A1833" s="395"/>
      <c r="B1833" s="401" t="s">
        <v>1452</v>
      </c>
      <c r="C1833" s="397">
        <v>100</v>
      </c>
      <c r="D1833" s="397">
        <v>1</v>
      </c>
      <c r="E1833" s="397">
        <v>1</v>
      </c>
      <c r="F1833" s="410">
        <v>1.9</v>
      </c>
      <c r="G1833" s="410">
        <v>18</v>
      </c>
      <c r="H1833" s="410">
        <v>1.1000000000000001</v>
      </c>
      <c r="I1833" s="399">
        <f t="shared" si="73"/>
        <v>3762</v>
      </c>
      <c r="J1833" s="396"/>
    </row>
    <row r="1834" spans="1:10" s="367" customFormat="1" ht="22.5" customHeight="1">
      <c r="A1834" s="395"/>
      <c r="B1834" s="401" t="s">
        <v>1453</v>
      </c>
      <c r="C1834" s="397">
        <v>100</v>
      </c>
      <c r="D1834" s="397">
        <v>1</v>
      </c>
      <c r="E1834" s="397">
        <v>1</v>
      </c>
      <c r="F1834" s="410">
        <v>1.6</v>
      </c>
      <c r="G1834" s="410">
        <v>20</v>
      </c>
      <c r="H1834" s="410">
        <v>1.1000000000000001</v>
      </c>
      <c r="I1834" s="399">
        <f t="shared" si="73"/>
        <v>3520</v>
      </c>
      <c r="J1834" s="396"/>
    </row>
    <row r="1835" spans="1:10" s="367" customFormat="1" ht="22.5" customHeight="1">
      <c r="A1835" s="395"/>
      <c r="B1835" s="401" t="s">
        <v>1454</v>
      </c>
      <c r="C1835" s="397">
        <v>10</v>
      </c>
      <c r="D1835" s="397">
        <v>1</v>
      </c>
      <c r="E1835" s="397">
        <v>2</v>
      </c>
      <c r="F1835" s="410">
        <v>0.45</v>
      </c>
      <c r="G1835" s="410">
        <v>15</v>
      </c>
      <c r="H1835" s="410">
        <v>0.75</v>
      </c>
      <c r="I1835" s="399">
        <f t="shared" si="73"/>
        <v>101.25</v>
      </c>
      <c r="J1835" s="396"/>
    </row>
    <row r="1836" spans="1:10" s="367" customFormat="1" ht="22.5" customHeight="1">
      <c r="A1836" s="395"/>
      <c r="B1836" s="401" t="s">
        <v>1455</v>
      </c>
      <c r="C1836" s="397">
        <v>10</v>
      </c>
      <c r="D1836" s="397">
        <v>1</v>
      </c>
      <c r="E1836" s="397">
        <v>6</v>
      </c>
      <c r="F1836" s="410">
        <v>2.4</v>
      </c>
      <c r="G1836" s="410">
        <v>18</v>
      </c>
      <c r="H1836" s="410">
        <v>1.1000000000000001</v>
      </c>
      <c r="I1836" s="399">
        <f t="shared" si="73"/>
        <v>2851.2</v>
      </c>
      <c r="J1836" s="396"/>
    </row>
    <row r="1837" spans="1:10" s="367" customFormat="1" ht="22.5" customHeight="1">
      <c r="A1837" s="395"/>
      <c r="B1837" s="401" t="s">
        <v>1455</v>
      </c>
      <c r="C1837" s="397">
        <v>10</v>
      </c>
      <c r="D1837" s="397">
        <v>1</v>
      </c>
      <c r="E1837" s="397">
        <v>2</v>
      </c>
      <c r="F1837" s="410">
        <v>1.8</v>
      </c>
      <c r="G1837" s="410">
        <v>18</v>
      </c>
      <c r="H1837" s="410">
        <v>1.1000000000000001</v>
      </c>
      <c r="I1837" s="399">
        <f t="shared" si="73"/>
        <v>712.8</v>
      </c>
      <c r="J1837" s="396"/>
    </row>
    <row r="1838" spans="1:10" s="367" customFormat="1" ht="22.5" customHeight="1">
      <c r="A1838" s="395"/>
      <c r="B1838" s="401" t="s">
        <v>1455</v>
      </c>
      <c r="C1838" s="397">
        <v>10</v>
      </c>
      <c r="D1838" s="397">
        <v>1</v>
      </c>
      <c r="E1838" s="397">
        <v>2</v>
      </c>
      <c r="F1838" s="410">
        <v>0.9</v>
      </c>
      <c r="G1838" s="410">
        <v>18</v>
      </c>
      <c r="H1838" s="410">
        <v>1.1000000000000001</v>
      </c>
      <c r="I1838" s="399">
        <f t="shared" si="73"/>
        <v>356.4</v>
      </c>
      <c r="J1838" s="396"/>
    </row>
    <row r="1839" spans="1:10" s="367" customFormat="1" ht="22.5" customHeight="1">
      <c r="A1839" s="395"/>
      <c r="B1839" s="401" t="s">
        <v>1455</v>
      </c>
      <c r="C1839" s="397">
        <v>10</v>
      </c>
      <c r="D1839" s="397">
        <v>1</v>
      </c>
      <c r="E1839" s="397">
        <v>2</v>
      </c>
      <c r="F1839" s="410">
        <v>0.75</v>
      </c>
      <c r="G1839" s="410">
        <v>18</v>
      </c>
      <c r="H1839" s="410">
        <v>1.1000000000000001</v>
      </c>
      <c r="I1839" s="399">
        <f t="shared" si="73"/>
        <v>297</v>
      </c>
      <c r="J1839" s="396"/>
    </row>
    <row r="1840" spans="1:10" s="367" customFormat="1" ht="22.5" customHeight="1">
      <c r="A1840" s="395"/>
      <c r="B1840" s="401" t="s">
        <v>1456</v>
      </c>
      <c r="C1840" s="397">
        <v>10</v>
      </c>
      <c r="D1840" s="397">
        <v>1</v>
      </c>
      <c r="E1840" s="397">
        <v>2</v>
      </c>
      <c r="F1840" s="410">
        <v>0.9</v>
      </c>
      <c r="G1840" s="410">
        <v>20</v>
      </c>
      <c r="H1840" s="410">
        <v>2.1</v>
      </c>
      <c r="I1840" s="399">
        <f t="shared" si="73"/>
        <v>756</v>
      </c>
      <c r="J1840" s="396"/>
    </row>
    <row r="1841" spans="1:30" s="367" customFormat="1" ht="22.5" customHeight="1">
      <c r="A1841" s="395"/>
      <c r="B1841" s="401" t="s">
        <v>1457</v>
      </c>
      <c r="C1841" s="397">
        <v>10</v>
      </c>
      <c r="D1841" s="397">
        <v>1</v>
      </c>
      <c r="E1841" s="397">
        <v>12</v>
      </c>
      <c r="F1841" s="410">
        <v>0.75</v>
      </c>
      <c r="G1841" s="410">
        <v>20</v>
      </c>
      <c r="H1841" s="410">
        <v>2.1</v>
      </c>
      <c r="I1841" s="399">
        <f t="shared" si="73"/>
        <v>3780</v>
      </c>
      <c r="J1841" s="396"/>
    </row>
    <row r="1842" spans="1:30" s="367" customFormat="1" ht="22.5" customHeight="1">
      <c r="A1842" s="395"/>
      <c r="B1842" s="401" t="s">
        <v>1458</v>
      </c>
      <c r="C1842" s="397">
        <v>10</v>
      </c>
      <c r="D1842" s="397">
        <v>1</v>
      </c>
      <c r="E1842" s="397">
        <v>2</v>
      </c>
      <c r="F1842" s="410">
        <v>1.2</v>
      </c>
      <c r="G1842" s="410">
        <v>20</v>
      </c>
      <c r="H1842" s="410">
        <v>1.1000000000000001</v>
      </c>
      <c r="I1842" s="399">
        <f t="shared" si="73"/>
        <v>528</v>
      </c>
      <c r="J1842" s="396"/>
    </row>
    <row r="1843" spans="1:30" s="367" customFormat="1" ht="22.5" customHeight="1">
      <c r="A1843" s="395"/>
      <c r="B1843" s="401" t="s">
        <v>1459</v>
      </c>
      <c r="C1843" s="397">
        <v>10</v>
      </c>
      <c r="D1843" s="397">
        <v>1</v>
      </c>
      <c r="E1843" s="397">
        <v>1</v>
      </c>
      <c r="F1843" s="410">
        <v>2.4</v>
      </c>
      <c r="G1843" s="410">
        <v>20</v>
      </c>
      <c r="H1843" s="410">
        <v>1.35</v>
      </c>
      <c r="I1843" s="399">
        <f t="shared" si="73"/>
        <v>648</v>
      </c>
      <c r="J1843" s="396"/>
    </row>
    <row r="1844" spans="1:30" s="367" customFormat="1" ht="22.5" customHeight="1">
      <c r="A1844" s="395"/>
      <c r="B1844" s="401" t="s">
        <v>1459</v>
      </c>
      <c r="C1844" s="397">
        <v>10</v>
      </c>
      <c r="D1844" s="397">
        <v>1</v>
      </c>
      <c r="E1844" s="397">
        <v>1</v>
      </c>
      <c r="F1844" s="410">
        <v>3</v>
      </c>
      <c r="G1844" s="410">
        <v>20</v>
      </c>
      <c r="H1844" s="410">
        <v>1.35</v>
      </c>
      <c r="I1844" s="399">
        <f t="shared" si="73"/>
        <v>810</v>
      </c>
      <c r="J1844" s="396"/>
    </row>
    <row r="1845" spans="1:30" s="367" customFormat="1" ht="22.5" customHeight="1">
      <c r="A1845" s="395"/>
      <c r="B1845" s="401" t="s">
        <v>1460</v>
      </c>
      <c r="C1845" s="397">
        <v>1</v>
      </c>
      <c r="D1845" s="397">
        <v>1</v>
      </c>
      <c r="E1845" s="397">
        <v>1</v>
      </c>
      <c r="F1845" s="410">
        <v>1.5</v>
      </c>
      <c r="G1845" s="410">
        <v>20</v>
      </c>
      <c r="H1845" s="410">
        <v>2.1</v>
      </c>
      <c r="I1845" s="399">
        <f t="shared" si="73"/>
        <v>63</v>
      </c>
      <c r="J1845" s="396"/>
    </row>
    <row r="1846" spans="1:30" s="367" customFormat="1" ht="22.5" customHeight="1">
      <c r="A1846" s="395"/>
      <c r="B1846" s="396" t="s">
        <v>1424</v>
      </c>
      <c r="C1846" s="397"/>
      <c r="D1846" s="397"/>
      <c r="E1846" s="397"/>
      <c r="F1846" s="410"/>
      <c r="G1846" s="410"/>
      <c r="H1846" s="410"/>
      <c r="I1846" s="399"/>
      <c r="J1846" s="396"/>
    </row>
    <row r="1847" spans="1:30" s="367" customFormat="1" ht="22.5" customHeight="1">
      <c r="A1847" s="395"/>
      <c r="B1847" s="401" t="s">
        <v>1443</v>
      </c>
      <c r="C1847" s="397">
        <v>1</v>
      </c>
      <c r="D1847" s="397">
        <v>1</v>
      </c>
      <c r="E1847" s="397">
        <v>2</v>
      </c>
      <c r="F1847" s="410">
        <v>0.9</v>
      </c>
      <c r="G1847" s="410">
        <v>20</v>
      </c>
      <c r="H1847" s="410">
        <v>2.1</v>
      </c>
      <c r="I1847" s="399">
        <f t="shared" si="73"/>
        <v>75.599999999999994</v>
      </c>
      <c r="J1847" s="396"/>
    </row>
    <row r="1848" spans="1:30" s="367" customFormat="1" ht="22.5" customHeight="1">
      <c r="A1848" s="395"/>
      <c r="B1848" s="401" t="s">
        <v>1444</v>
      </c>
      <c r="C1848" s="397">
        <v>1</v>
      </c>
      <c r="D1848" s="397">
        <v>1</v>
      </c>
      <c r="E1848" s="397">
        <v>1</v>
      </c>
      <c r="F1848" s="410">
        <v>1.5</v>
      </c>
      <c r="G1848" s="410">
        <v>20</v>
      </c>
      <c r="H1848" s="410">
        <v>2.1</v>
      </c>
      <c r="I1848" s="399">
        <f t="shared" si="73"/>
        <v>63</v>
      </c>
      <c r="J1848" s="396"/>
    </row>
    <row r="1849" spans="1:30" s="367" customFormat="1" ht="22.5" customHeight="1">
      <c r="A1849" s="395"/>
      <c r="B1849" s="401" t="s">
        <v>1445</v>
      </c>
      <c r="C1849" s="397">
        <v>1</v>
      </c>
      <c r="D1849" s="397">
        <v>1</v>
      </c>
      <c r="E1849" s="397">
        <v>2</v>
      </c>
      <c r="F1849" s="410">
        <v>1.2</v>
      </c>
      <c r="G1849" s="410">
        <v>20</v>
      </c>
      <c r="H1849" s="410">
        <v>2.1</v>
      </c>
      <c r="I1849" s="399">
        <f t="shared" si="73"/>
        <v>100.8</v>
      </c>
      <c r="J1849" s="396"/>
    </row>
    <row r="1850" spans="1:30" s="367" customFormat="1" ht="22.5" customHeight="1">
      <c r="A1850" s="395"/>
      <c r="B1850" s="401" t="s">
        <v>1457</v>
      </c>
      <c r="C1850" s="397">
        <v>1</v>
      </c>
      <c r="D1850" s="397">
        <v>1</v>
      </c>
      <c r="E1850" s="397">
        <v>5</v>
      </c>
      <c r="F1850" s="410">
        <v>0.75</v>
      </c>
      <c r="G1850" s="410">
        <v>20</v>
      </c>
      <c r="H1850" s="410">
        <v>2.1</v>
      </c>
      <c r="I1850" s="399">
        <f t="shared" si="73"/>
        <v>157.5</v>
      </c>
      <c r="J1850" s="396"/>
    </row>
    <row r="1851" spans="1:30" s="367" customFormat="1" ht="22.5" customHeight="1">
      <c r="A1851" s="395"/>
      <c r="B1851" s="401" t="s">
        <v>1436</v>
      </c>
      <c r="C1851" s="397">
        <v>1</v>
      </c>
      <c r="D1851" s="397">
        <v>1</v>
      </c>
      <c r="E1851" s="397">
        <v>5</v>
      </c>
      <c r="F1851" s="410">
        <v>1.5</v>
      </c>
      <c r="G1851" s="410">
        <v>20</v>
      </c>
      <c r="H1851" s="410">
        <v>1.35</v>
      </c>
      <c r="I1851" s="399">
        <f t="shared" si="73"/>
        <v>202.5</v>
      </c>
      <c r="J1851" s="396"/>
    </row>
    <row r="1852" spans="1:30" s="367" customFormat="1" ht="22.5" customHeight="1">
      <c r="A1852" s="395"/>
      <c r="B1852" s="401" t="s">
        <v>1461</v>
      </c>
      <c r="C1852" s="397">
        <v>1</v>
      </c>
      <c r="D1852" s="397">
        <v>1</v>
      </c>
      <c r="E1852" s="397">
        <v>10</v>
      </c>
      <c r="F1852" s="410">
        <v>4</v>
      </c>
      <c r="G1852" s="410">
        <v>20</v>
      </c>
      <c r="H1852" s="410">
        <v>0.45</v>
      </c>
      <c r="I1852" s="399">
        <f t="shared" si="73"/>
        <v>360</v>
      </c>
      <c r="J1852" s="396"/>
    </row>
    <row r="1853" spans="1:30" s="5" customFormat="1" ht="23.25" customHeight="1">
      <c r="A1853" s="289"/>
      <c r="B1853" s="342"/>
      <c r="C1853" s="294"/>
      <c r="D1853" s="280"/>
      <c r="E1853" s="346"/>
      <c r="F1853" s="337"/>
      <c r="G1853" s="338"/>
      <c r="H1853" s="337"/>
      <c r="I1853" s="339">
        <f>SUM(I1815:I1852)</f>
        <v>41781.269999999997</v>
      </c>
      <c r="J1853" s="343" t="s">
        <v>573</v>
      </c>
      <c r="K1853" s="44"/>
      <c r="L1853" s="44"/>
      <c r="M1853" s="44"/>
      <c r="N1853" s="7"/>
      <c r="O1853" s="7"/>
      <c r="P1853" s="7"/>
      <c r="Q1853" s="7"/>
      <c r="R1853" s="7"/>
      <c r="S1853" s="7"/>
      <c r="T1853" s="7"/>
      <c r="U1853" s="7"/>
      <c r="V1853" s="7"/>
      <c r="W1853" s="7"/>
      <c r="X1853" s="7"/>
      <c r="Y1853" s="7"/>
      <c r="Z1853" s="7"/>
      <c r="AA1853" s="7"/>
      <c r="AB1853" s="7"/>
      <c r="AC1853" s="7"/>
      <c r="AD1853" s="7"/>
    </row>
    <row r="1854" spans="1:30" s="5" customFormat="1" ht="20.25" customHeight="1">
      <c r="A1854" s="289"/>
      <c r="B1854" s="342"/>
      <c r="C1854" s="346"/>
      <c r="D1854" s="280"/>
      <c r="E1854" s="346"/>
      <c r="F1854" s="337"/>
      <c r="G1854" s="595" t="s">
        <v>54</v>
      </c>
      <c r="H1854" s="596"/>
      <c r="I1854" s="416">
        <f>ROUNDUP(I1853,0)</f>
        <v>41782</v>
      </c>
      <c r="J1854" s="343" t="s">
        <v>573</v>
      </c>
      <c r="K1854" s="44"/>
      <c r="L1854" s="44"/>
      <c r="M1854" s="44"/>
      <c r="N1854" s="7">
        <v>124826.84</v>
      </c>
      <c r="O1854" s="7">
        <f>N1854/1036</f>
        <v>120.49</v>
      </c>
      <c r="P1854" s="7">
        <f>O1854*112</f>
        <v>13494.88</v>
      </c>
      <c r="Q1854" s="7"/>
      <c r="R1854" s="7"/>
      <c r="S1854" s="7"/>
      <c r="T1854" s="7"/>
      <c r="U1854" s="7"/>
      <c r="V1854" s="7"/>
      <c r="W1854" s="7"/>
      <c r="X1854" s="7"/>
      <c r="Y1854" s="7"/>
      <c r="Z1854" s="7"/>
      <c r="AA1854" s="7"/>
      <c r="AB1854" s="7"/>
      <c r="AC1854" s="7"/>
      <c r="AD1854" s="7"/>
    </row>
    <row r="1855" spans="1:30" s="5" customFormat="1" ht="20.25" customHeight="1">
      <c r="A1855" s="289">
        <v>40</v>
      </c>
      <c r="B1855" s="319" t="s">
        <v>572</v>
      </c>
      <c r="C1855" s="346"/>
      <c r="D1855" s="280"/>
      <c r="E1855" s="346"/>
      <c r="F1855" s="337"/>
      <c r="G1855" s="404" t="s">
        <v>568</v>
      </c>
      <c r="H1855" s="337"/>
      <c r="I1855" s="347"/>
      <c r="J1855" s="284"/>
      <c r="K1855" s="43"/>
      <c r="L1855" s="43"/>
      <c r="M1855" s="43"/>
      <c r="N1855" s="7"/>
      <c r="O1855" s="7"/>
      <c r="P1855" s="7"/>
      <c r="Q1855" s="7"/>
      <c r="R1855" s="7"/>
      <c r="S1855" s="7"/>
      <c r="T1855" s="7"/>
      <c r="U1855" s="7"/>
      <c r="V1855" s="7"/>
      <c r="W1855" s="7"/>
      <c r="X1855" s="7"/>
      <c r="Y1855" s="7"/>
      <c r="Z1855" s="7"/>
      <c r="AA1855" s="7"/>
      <c r="AB1855" s="7"/>
      <c r="AC1855" s="7"/>
      <c r="AD1855" s="7"/>
    </row>
    <row r="1856" spans="1:30" s="5" customFormat="1" ht="20.25" customHeight="1">
      <c r="A1856" s="289"/>
      <c r="B1856" s="319" t="s">
        <v>571</v>
      </c>
      <c r="C1856" s="346"/>
      <c r="D1856" s="280"/>
      <c r="E1856" s="346"/>
      <c r="F1856" s="337"/>
      <c r="G1856" s="404"/>
      <c r="H1856" s="337"/>
      <c r="I1856" s="347"/>
      <c r="J1856" s="284"/>
      <c r="K1856" s="43"/>
      <c r="L1856" s="43"/>
      <c r="M1856" s="43"/>
      <c r="N1856" s="7"/>
      <c r="O1856" s="7"/>
      <c r="P1856" s="7"/>
      <c r="Q1856" s="7"/>
      <c r="R1856" s="7"/>
      <c r="S1856" s="7"/>
      <c r="T1856" s="7"/>
      <c r="U1856" s="7"/>
      <c r="V1856" s="7"/>
      <c r="W1856" s="7"/>
      <c r="X1856" s="7"/>
      <c r="Y1856" s="7"/>
      <c r="Z1856" s="7"/>
      <c r="AA1856" s="7"/>
      <c r="AB1856" s="7"/>
      <c r="AC1856" s="7"/>
      <c r="AD1856" s="7"/>
    </row>
    <row r="1857" spans="1:30" s="5" customFormat="1" ht="20.25" customHeight="1">
      <c r="A1857" s="289"/>
      <c r="B1857" s="293" t="s">
        <v>570</v>
      </c>
      <c r="C1857" s="294">
        <v>1</v>
      </c>
      <c r="D1857" s="280">
        <v>1</v>
      </c>
      <c r="E1857" s="294">
        <v>2</v>
      </c>
      <c r="F1857" s="338">
        <v>0.9</v>
      </c>
      <c r="G1857" s="338">
        <v>2.6</v>
      </c>
      <c r="H1857" s="338">
        <v>2.1</v>
      </c>
      <c r="I1857" s="347">
        <f>PRODUCT(C1857:H1857)</f>
        <v>9.83</v>
      </c>
      <c r="J1857" s="284"/>
      <c r="K1857" s="43"/>
      <c r="L1857" s="43"/>
      <c r="M1857" s="43"/>
      <c r="N1857" s="7"/>
      <c r="O1857" s="7"/>
      <c r="P1857" s="7"/>
      <c r="Q1857" s="7"/>
      <c r="R1857" s="7"/>
      <c r="S1857" s="7"/>
      <c r="T1857" s="7"/>
      <c r="U1857" s="7"/>
      <c r="V1857" s="7"/>
      <c r="W1857" s="7"/>
      <c r="X1857" s="7"/>
      <c r="Y1857" s="7"/>
      <c r="Z1857" s="7"/>
      <c r="AA1857" s="7"/>
      <c r="AB1857" s="7"/>
      <c r="AC1857" s="7"/>
      <c r="AD1857" s="7"/>
    </row>
    <row r="1858" spans="1:30" s="5" customFormat="1" ht="20.25" customHeight="1">
      <c r="A1858" s="289"/>
      <c r="B1858" s="293" t="s">
        <v>569</v>
      </c>
      <c r="C1858" s="294">
        <v>1</v>
      </c>
      <c r="D1858" s="280">
        <v>1</v>
      </c>
      <c r="E1858" s="294">
        <v>2</v>
      </c>
      <c r="F1858" s="338">
        <v>1.5</v>
      </c>
      <c r="G1858" s="338">
        <v>2.6</v>
      </c>
      <c r="H1858" s="338">
        <v>2.1</v>
      </c>
      <c r="I1858" s="347">
        <f>PRODUCT(C1858:H1858)</f>
        <v>16.38</v>
      </c>
      <c r="J1858" s="284"/>
      <c r="K1858" s="43"/>
      <c r="L1858" s="43"/>
      <c r="M1858" s="43"/>
      <c r="N1858" s="7"/>
      <c r="O1858" s="7"/>
      <c r="P1858" s="7"/>
      <c r="Q1858" s="7"/>
      <c r="R1858" s="7"/>
      <c r="S1858" s="7"/>
      <c r="T1858" s="7"/>
      <c r="U1858" s="7"/>
      <c r="V1858" s="7"/>
      <c r="W1858" s="7"/>
      <c r="X1858" s="7"/>
      <c r="Y1858" s="7"/>
      <c r="Z1858" s="7"/>
      <c r="AA1858" s="7"/>
      <c r="AB1858" s="7"/>
      <c r="AC1858" s="7"/>
      <c r="AD1858" s="7"/>
    </row>
    <row r="1859" spans="1:30" s="5" customFormat="1" ht="24.75" customHeight="1">
      <c r="A1859" s="289"/>
      <c r="B1859" s="293" t="s">
        <v>877</v>
      </c>
      <c r="C1859" s="294">
        <v>10</v>
      </c>
      <c r="D1859" s="280">
        <v>10</v>
      </c>
      <c r="E1859" s="294">
        <v>2</v>
      </c>
      <c r="F1859" s="338">
        <v>0.9</v>
      </c>
      <c r="G1859" s="338">
        <v>2.6</v>
      </c>
      <c r="H1859" s="338">
        <v>2.1</v>
      </c>
      <c r="I1859" s="347">
        <f>PRODUCT(C1859:H1859)</f>
        <v>982.8</v>
      </c>
      <c r="J1859" s="284"/>
      <c r="K1859" s="43"/>
      <c r="L1859" s="43"/>
      <c r="M1859" s="43"/>
      <c r="N1859" s="7"/>
      <c r="O1859" s="7"/>
      <c r="P1859" s="7"/>
      <c r="Q1859" s="7"/>
      <c r="R1859" s="7"/>
      <c r="S1859" s="7"/>
      <c r="T1859" s="7"/>
      <c r="U1859" s="7"/>
      <c r="V1859" s="7"/>
      <c r="W1859" s="7"/>
      <c r="X1859" s="7"/>
      <c r="Y1859" s="7"/>
      <c r="Z1859" s="7"/>
      <c r="AA1859" s="7"/>
      <c r="AB1859" s="7"/>
      <c r="AC1859" s="7"/>
      <c r="AD1859" s="7"/>
    </row>
    <row r="1860" spans="1:30" s="5" customFormat="1" ht="27.75" customHeight="1">
      <c r="A1860" s="289"/>
      <c r="B1860" s="293" t="s">
        <v>878</v>
      </c>
      <c r="C1860" s="294">
        <v>10</v>
      </c>
      <c r="D1860" s="280">
        <v>10</v>
      </c>
      <c r="E1860" s="294">
        <v>1</v>
      </c>
      <c r="F1860" s="338">
        <v>0.75</v>
      </c>
      <c r="G1860" s="338">
        <v>2.6</v>
      </c>
      <c r="H1860" s="338">
        <v>2.1</v>
      </c>
      <c r="I1860" s="347">
        <f>PRODUCT(C1860:H1860)</f>
        <v>409.5</v>
      </c>
      <c r="J1860" s="284"/>
      <c r="K1860" s="43"/>
      <c r="L1860" s="43"/>
      <c r="M1860" s="43"/>
      <c r="N1860" s="7">
        <f>0.075+0.05</f>
        <v>0.13</v>
      </c>
      <c r="O1860" s="7">
        <f>0.75-0.13</f>
        <v>0.62</v>
      </c>
      <c r="P1860" s="7"/>
      <c r="Q1860" s="7"/>
      <c r="R1860" s="7"/>
      <c r="S1860" s="7"/>
      <c r="T1860" s="7"/>
      <c r="U1860" s="7"/>
      <c r="V1860" s="7"/>
      <c r="W1860" s="7"/>
      <c r="X1860" s="7"/>
      <c r="Y1860" s="7"/>
      <c r="Z1860" s="7"/>
      <c r="AA1860" s="7"/>
      <c r="AB1860" s="7"/>
      <c r="AC1860" s="7"/>
      <c r="AD1860" s="7"/>
    </row>
    <row r="1861" spans="1:30" s="5" customFormat="1" ht="20.25" customHeight="1">
      <c r="A1861" s="289"/>
      <c r="B1861" s="342"/>
      <c r="C1861" s="346"/>
      <c r="D1861" s="280"/>
      <c r="E1861" s="346"/>
      <c r="F1861" s="337"/>
      <c r="G1861" s="337"/>
      <c r="H1861" s="412"/>
      <c r="I1861" s="339">
        <f>SUM(I1857:I1860)</f>
        <v>1418.51</v>
      </c>
      <c r="J1861" s="284"/>
      <c r="K1861" s="43"/>
      <c r="L1861" s="43"/>
      <c r="M1861" s="43"/>
      <c r="N1861" s="7"/>
      <c r="O1861" s="7"/>
      <c r="P1861" s="7"/>
      <c r="Q1861" s="7"/>
      <c r="R1861" s="7"/>
      <c r="S1861" s="7"/>
      <c r="T1861" s="7"/>
      <c r="U1861" s="7"/>
      <c r="V1861" s="7"/>
      <c r="W1861" s="7"/>
      <c r="X1861" s="7"/>
      <c r="Y1861" s="7"/>
      <c r="Z1861" s="7"/>
      <c r="AA1861" s="7"/>
      <c r="AB1861" s="7"/>
      <c r="AC1861" s="7"/>
      <c r="AD1861" s="7"/>
    </row>
    <row r="1862" spans="1:30" s="5" customFormat="1" ht="20.25" customHeight="1">
      <c r="A1862" s="289"/>
      <c r="B1862" s="342"/>
      <c r="C1862" s="346"/>
      <c r="D1862" s="280"/>
      <c r="E1862" s="346"/>
      <c r="F1862" s="337"/>
      <c r="G1862" s="337"/>
      <c r="H1862" s="404" t="s">
        <v>55</v>
      </c>
      <c r="I1862" s="416">
        <f>ROUNDUP(I1861,1)</f>
        <v>1418.6</v>
      </c>
      <c r="J1862" s="287" t="s">
        <v>4</v>
      </c>
      <c r="K1862" s="42"/>
      <c r="L1862" s="42"/>
      <c r="M1862" s="42"/>
      <c r="N1862" s="7"/>
      <c r="O1862" s="7"/>
      <c r="P1862" s="7"/>
      <c r="Q1862" s="7"/>
      <c r="R1862" s="7"/>
      <c r="S1862" s="7"/>
      <c r="T1862" s="7"/>
      <c r="U1862" s="7"/>
      <c r="V1862" s="7"/>
      <c r="W1862" s="7"/>
      <c r="X1862" s="7"/>
      <c r="Y1862" s="7"/>
      <c r="Z1862" s="7"/>
      <c r="AA1862" s="7"/>
      <c r="AB1862" s="7"/>
      <c r="AC1862" s="7"/>
      <c r="AD1862" s="7"/>
    </row>
    <row r="1863" spans="1:30" s="5" customFormat="1" ht="20.25" customHeight="1">
      <c r="A1863" s="370">
        <v>41</v>
      </c>
      <c r="B1863" s="319" t="s">
        <v>34</v>
      </c>
      <c r="C1863" s="346"/>
      <c r="D1863" s="280"/>
      <c r="E1863" s="346"/>
      <c r="F1863" s="337"/>
      <c r="G1863" s="337" t="s">
        <v>568</v>
      </c>
      <c r="H1863" s="337"/>
      <c r="I1863" s="347"/>
      <c r="J1863" s="284"/>
      <c r="K1863" s="43"/>
      <c r="L1863" s="43"/>
      <c r="M1863" s="43"/>
      <c r="N1863" s="7"/>
      <c r="O1863" s="7"/>
      <c r="P1863" s="7"/>
      <c r="Q1863" s="7"/>
      <c r="R1863" s="7"/>
      <c r="S1863" s="7"/>
      <c r="T1863" s="7"/>
      <c r="U1863" s="7"/>
      <c r="V1863" s="7"/>
      <c r="W1863" s="7"/>
      <c r="X1863" s="7"/>
      <c r="Y1863" s="7"/>
      <c r="Z1863" s="7"/>
      <c r="AA1863" s="7"/>
      <c r="AB1863" s="7"/>
      <c r="AC1863" s="7"/>
      <c r="AD1863" s="7"/>
    </row>
    <row r="1864" spans="1:30" s="5" customFormat="1" ht="23.25" customHeight="1">
      <c r="A1864" s="289"/>
      <c r="B1864" s="319" t="s">
        <v>148</v>
      </c>
      <c r="C1864" s="346"/>
      <c r="D1864" s="280"/>
      <c r="E1864" s="346"/>
      <c r="F1864" s="337"/>
      <c r="G1864" s="338" t="s">
        <v>568</v>
      </c>
      <c r="H1864" s="337"/>
      <c r="I1864" s="347"/>
      <c r="J1864" s="284"/>
      <c r="K1864" s="43"/>
      <c r="L1864" s="43"/>
      <c r="M1864" s="43"/>
      <c r="N1864" s="7"/>
      <c r="O1864" s="7"/>
      <c r="P1864" s="7"/>
      <c r="Q1864" s="7"/>
      <c r="R1864" s="7"/>
      <c r="S1864" s="7"/>
      <c r="T1864" s="7"/>
      <c r="U1864" s="7"/>
      <c r="V1864" s="7"/>
      <c r="W1864" s="7"/>
      <c r="X1864" s="7"/>
      <c r="Y1864" s="7"/>
      <c r="Z1864" s="7"/>
      <c r="AA1864" s="7"/>
      <c r="AB1864" s="7"/>
      <c r="AC1864" s="7"/>
      <c r="AD1864" s="7"/>
    </row>
    <row r="1865" spans="1:30" s="5" customFormat="1" ht="23.25" customHeight="1">
      <c r="A1865" s="289"/>
      <c r="B1865" s="293" t="s">
        <v>567</v>
      </c>
      <c r="C1865" s="294">
        <v>1</v>
      </c>
      <c r="D1865" s="280">
        <v>1</v>
      </c>
      <c r="E1865" s="294">
        <v>4</v>
      </c>
      <c r="F1865" s="338">
        <v>1.5</v>
      </c>
      <c r="G1865" s="338">
        <v>1</v>
      </c>
      <c r="H1865" s="338">
        <v>1.35</v>
      </c>
      <c r="I1865" s="347">
        <f t="shared" ref="I1865:I1873" si="74">PRODUCT(C1865:H1865)</f>
        <v>8.1</v>
      </c>
      <c r="J1865" s="284"/>
      <c r="K1865" s="43"/>
      <c r="L1865" s="43"/>
      <c r="M1865" s="43"/>
      <c r="N1865" s="7"/>
      <c r="O1865" s="7"/>
      <c r="P1865" s="7"/>
      <c r="Q1865" s="7"/>
      <c r="R1865" s="7"/>
      <c r="S1865" s="7"/>
      <c r="T1865" s="7"/>
      <c r="U1865" s="7"/>
      <c r="V1865" s="7"/>
      <c r="W1865" s="7"/>
      <c r="X1865" s="7"/>
      <c r="Y1865" s="7"/>
      <c r="Z1865" s="7"/>
      <c r="AA1865" s="7"/>
      <c r="AB1865" s="7"/>
      <c r="AC1865" s="7"/>
      <c r="AD1865" s="7"/>
    </row>
    <row r="1866" spans="1:30" s="2" customFormat="1" ht="23.25" customHeight="1">
      <c r="A1866" s="289"/>
      <c r="B1866" s="293" t="s">
        <v>566</v>
      </c>
      <c r="C1866" s="294">
        <v>1</v>
      </c>
      <c r="D1866" s="280">
        <v>2</v>
      </c>
      <c r="E1866" s="294">
        <v>2</v>
      </c>
      <c r="F1866" s="338">
        <v>1.2</v>
      </c>
      <c r="G1866" s="338">
        <v>1</v>
      </c>
      <c r="H1866" s="338">
        <v>1.35</v>
      </c>
      <c r="I1866" s="347">
        <f t="shared" si="74"/>
        <v>6.48</v>
      </c>
      <c r="J1866" s="284"/>
      <c r="K1866" s="9"/>
      <c r="L1866" s="9"/>
      <c r="M1866" s="9"/>
      <c r="N1866" s="9"/>
      <c r="O1866" s="9"/>
      <c r="P1866" s="9"/>
      <c r="Q1866" s="9"/>
      <c r="R1866" s="9"/>
      <c r="S1866" s="9"/>
      <c r="T1866" s="9"/>
      <c r="U1866" s="9"/>
      <c r="V1866" s="9"/>
      <c r="W1866" s="9"/>
      <c r="X1866" s="9"/>
      <c r="Y1866" s="9"/>
      <c r="Z1866" s="9"/>
      <c r="AA1866" s="9"/>
    </row>
    <row r="1867" spans="1:30" s="2" customFormat="1" ht="23.25" customHeight="1">
      <c r="A1867" s="289"/>
      <c r="B1867" s="293" t="s">
        <v>565</v>
      </c>
      <c r="C1867" s="294">
        <v>1</v>
      </c>
      <c r="D1867" s="280">
        <v>1</v>
      </c>
      <c r="E1867" s="294">
        <v>2</v>
      </c>
      <c r="F1867" s="338">
        <v>1.8</v>
      </c>
      <c r="G1867" s="338">
        <v>1</v>
      </c>
      <c r="H1867" s="338">
        <v>1.35</v>
      </c>
      <c r="I1867" s="347">
        <f t="shared" si="74"/>
        <v>4.8600000000000003</v>
      </c>
      <c r="J1867" s="284"/>
      <c r="K1867" s="9"/>
      <c r="L1867" s="9"/>
      <c r="M1867" s="9"/>
      <c r="N1867" s="9"/>
      <c r="O1867" s="9"/>
      <c r="P1867" s="9"/>
      <c r="Q1867" s="9"/>
      <c r="R1867" s="9"/>
      <c r="S1867" s="9"/>
      <c r="T1867" s="9"/>
      <c r="U1867" s="9"/>
      <c r="V1867" s="9"/>
      <c r="W1867" s="9"/>
      <c r="X1867" s="9"/>
      <c r="Y1867" s="9"/>
      <c r="Z1867" s="9"/>
      <c r="AA1867" s="9"/>
    </row>
    <row r="1868" spans="1:30" s="5" customFormat="1" ht="23.25" customHeight="1">
      <c r="A1868" s="289"/>
      <c r="B1868" s="293" t="s">
        <v>564</v>
      </c>
      <c r="C1868" s="294">
        <v>1</v>
      </c>
      <c r="D1868" s="280">
        <v>1</v>
      </c>
      <c r="E1868" s="294">
        <v>2</v>
      </c>
      <c r="F1868" s="338">
        <v>1</v>
      </c>
      <c r="G1868" s="338">
        <v>1</v>
      </c>
      <c r="H1868" s="338">
        <v>2.1</v>
      </c>
      <c r="I1868" s="347">
        <f t="shared" si="74"/>
        <v>4.2</v>
      </c>
      <c r="J1868" s="284"/>
      <c r="K1868" s="43"/>
      <c r="L1868" s="43"/>
      <c r="M1868" s="43"/>
      <c r="N1868" s="7"/>
      <c r="O1868" s="7"/>
      <c r="P1868" s="7"/>
      <c r="Q1868" s="7"/>
      <c r="R1868" s="7"/>
      <c r="S1868" s="7"/>
      <c r="T1868" s="7"/>
      <c r="U1868" s="7"/>
      <c r="V1868" s="7"/>
      <c r="W1868" s="7"/>
      <c r="X1868" s="7"/>
      <c r="Y1868" s="7"/>
      <c r="Z1868" s="7"/>
      <c r="AA1868" s="7"/>
      <c r="AB1868" s="7"/>
      <c r="AC1868" s="7"/>
      <c r="AD1868" s="7"/>
    </row>
    <row r="1869" spans="1:30" s="5" customFormat="1" ht="19.5" customHeight="1">
      <c r="A1869" s="289"/>
      <c r="B1869" s="293" t="s">
        <v>563</v>
      </c>
      <c r="C1869" s="294">
        <v>1</v>
      </c>
      <c r="D1869" s="280">
        <v>1</v>
      </c>
      <c r="E1869" s="294">
        <v>2</v>
      </c>
      <c r="F1869" s="338">
        <v>2.1</v>
      </c>
      <c r="G1869" s="338">
        <v>1</v>
      </c>
      <c r="H1869" s="338">
        <v>2.1</v>
      </c>
      <c r="I1869" s="347">
        <f t="shared" si="74"/>
        <v>8.82</v>
      </c>
      <c r="J1869" s="284"/>
      <c r="K1869" s="43"/>
      <c r="L1869" s="43"/>
      <c r="M1869" s="43"/>
      <c r="N1869" s="7"/>
      <c r="O1869" s="7"/>
      <c r="P1869" s="7"/>
      <c r="Q1869" s="7"/>
      <c r="R1869" s="7"/>
      <c r="S1869" s="7"/>
      <c r="T1869" s="7"/>
      <c r="U1869" s="7"/>
      <c r="V1869" s="7"/>
      <c r="W1869" s="7"/>
      <c r="X1869" s="7"/>
      <c r="Y1869" s="7"/>
      <c r="Z1869" s="7"/>
      <c r="AA1869" s="7"/>
      <c r="AB1869" s="7"/>
      <c r="AC1869" s="7"/>
      <c r="AD1869" s="7"/>
    </row>
    <row r="1870" spans="1:30" s="5" customFormat="1" ht="19.5" customHeight="1">
      <c r="A1870" s="289"/>
      <c r="B1870" s="293" t="s">
        <v>1451</v>
      </c>
      <c r="C1870" s="294">
        <v>1</v>
      </c>
      <c r="D1870" s="280">
        <v>1</v>
      </c>
      <c r="E1870" s="294">
        <v>2</v>
      </c>
      <c r="F1870" s="338">
        <v>0.75</v>
      </c>
      <c r="G1870" s="338">
        <v>1</v>
      </c>
      <c r="H1870" s="338">
        <v>0.75</v>
      </c>
      <c r="I1870" s="347">
        <f t="shared" si="74"/>
        <v>1.1299999999999999</v>
      </c>
      <c r="J1870" s="284"/>
      <c r="K1870" s="43"/>
      <c r="L1870" s="43"/>
      <c r="M1870" s="43"/>
      <c r="N1870" s="7"/>
      <c r="O1870" s="7"/>
      <c r="P1870" s="7"/>
      <c r="Q1870" s="7"/>
      <c r="R1870" s="7"/>
      <c r="S1870" s="7"/>
      <c r="T1870" s="7"/>
      <c r="U1870" s="7"/>
      <c r="V1870" s="7"/>
      <c r="W1870" s="7"/>
      <c r="X1870" s="7"/>
      <c r="Y1870" s="7"/>
      <c r="Z1870" s="7"/>
      <c r="AA1870" s="7"/>
      <c r="AB1870" s="7"/>
      <c r="AC1870" s="7"/>
      <c r="AD1870" s="7"/>
    </row>
    <row r="1871" spans="1:30" s="5" customFormat="1" ht="19.5" customHeight="1">
      <c r="A1871" s="289"/>
      <c r="B1871" s="293" t="s">
        <v>945</v>
      </c>
      <c r="C1871" s="294">
        <v>1</v>
      </c>
      <c r="D1871" s="280">
        <v>1</v>
      </c>
      <c r="E1871" s="294">
        <v>1</v>
      </c>
      <c r="F1871" s="338">
        <v>2.4</v>
      </c>
      <c r="G1871" s="338">
        <v>1</v>
      </c>
      <c r="H1871" s="338">
        <v>1.35</v>
      </c>
      <c r="I1871" s="347">
        <f t="shared" si="74"/>
        <v>3.24</v>
      </c>
      <c r="J1871" s="284"/>
      <c r="K1871" s="43"/>
      <c r="L1871" s="43"/>
      <c r="M1871" s="43"/>
      <c r="N1871" s="7"/>
      <c r="O1871" s="7"/>
      <c r="P1871" s="7"/>
      <c r="Q1871" s="7"/>
      <c r="R1871" s="7"/>
      <c r="S1871" s="7"/>
      <c r="T1871" s="7"/>
      <c r="U1871" s="7"/>
      <c r="V1871" s="7"/>
      <c r="W1871" s="7"/>
      <c r="X1871" s="7"/>
      <c r="Y1871" s="7"/>
      <c r="Z1871" s="7"/>
      <c r="AA1871" s="7"/>
      <c r="AB1871" s="7"/>
      <c r="AC1871" s="7"/>
      <c r="AD1871" s="7"/>
    </row>
    <row r="1872" spans="1:30" s="5" customFormat="1" ht="19.5" customHeight="1">
      <c r="A1872" s="289"/>
      <c r="B1872" s="293"/>
      <c r="C1872" s="294">
        <v>1</v>
      </c>
      <c r="D1872" s="280">
        <v>1</v>
      </c>
      <c r="E1872" s="294">
        <v>1</v>
      </c>
      <c r="F1872" s="338">
        <v>3</v>
      </c>
      <c r="G1872" s="338">
        <v>1</v>
      </c>
      <c r="H1872" s="338">
        <v>1.35</v>
      </c>
      <c r="I1872" s="347">
        <f t="shared" si="74"/>
        <v>4.05</v>
      </c>
      <c r="J1872" s="284"/>
      <c r="K1872" s="43"/>
      <c r="L1872" s="43"/>
      <c r="M1872" s="43"/>
      <c r="N1872" s="7"/>
      <c r="O1872" s="7"/>
      <c r="P1872" s="7"/>
      <c r="Q1872" s="7"/>
      <c r="R1872" s="7"/>
      <c r="S1872" s="7"/>
      <c r="T1872" s="7"/>
      <c r="U1872" s="7"/>
      <c r="V1872" s="7"/>
      <c r="W1872" s="7"/>
      <c r="X1872" s="7"/>
      <c r="Y1872" s="7"/>
      <c r="Z1872" s="7"/>
      <c r="AA1872" s="7"/>
      <c r="AB1872" s="7"/>
      <c r="AC1872" s="7"/>
      <c r="AD1872" s="7"/>
    </row>
    <row r="1873" spans="1:30" s="5" customFormat="1" ht="19.5" customHeight="1">
      <c r="A1873" s="289"/>
      <c r="B1873" s="293" t="s">
        <v>1462</v>
      </c>
      <c r="C1873" s="294">
        <v>1</v>
      </c>
      <c r="D1873" s="280">
        <v>1</v>
      </c>
      <c r="E1873" s="294">
        <v>1</v>
      </c>
      <c r="F1873" s="338">
        <v>1.5</v>
      </c>
      <c r="G1873" s="338">
        <v>1</v>
      </c>
      <c r="H1873" s="338">
        <v>2.1</v>
      </c>
      <c r="I1873" s="347">
        <f t="shared" si="74"/>
        <v>3.15</v>
      </c>
      <c r="J1873" s="284"/>
      <c r="K1873" s="43"/>
      <c r="L1873" s="43"/>
      <c r="M1873" s="43"/>
      <c r="N1873" s="7"/>
      <c r="O1873" s="7"/>
      <c r="P1873" s="7"/>
      <c r="Q1873" s="7"/>
      <c r="R1873" s="7"/>
      <c r="S1873" s="7"/>
      <c r="T1873" s="7"/>
      <c r="U1873" s="7"/>
      <c r="V1873" s="7"/>
      <c r="W1873" s="7"/>
      <c r="X1873" s="7"/>
      <c r="Y1873" s="7"/>
      <c r="Z1873" s="7"/>
      <c r="AA1873" s="7"/>
      <c r="AB1873" s="7"/>
      <c r="AC1873" s="7"/>
      <c r="AD1873" s="7"/>
    </row>
    <row r="1874" spans="1:30" s="5" customFormat="1" ht="23.25" customHeight="1">
      <c r="A1874" s="294"/>
      <c r="B1874" s="319" t="s">
        <v>874</v>
      </c>
      <c r="C1874" s="294"/>
      <c r="D1874" s="280"/>
      <c r="E1874" s="294"/>
      <c r="F1874" s="338"/>
      <c r="G1874" s="338"/>
      <c r="H1874" s="338"/>
      <c r="I1874" s="347"/>
      <c r="J1874" s="284"/>
      <c r="K1874" s="43"/>
      <c r="L1874" s="43"/>
      <c r="M1874" s="43"/>
      <c r="N1874" s="7"/>
      <c r="O1874" s="7"/>
      <c r="P1874" s="7"/>
      <c r="Q1874" s="7"/>
      <c r="R1874" s="7"/>
      <c r="S1874" s="7"/>
      <c r="T1874" s="7"/>
      <c r="U1874" s="7"/>
      <c r="V1874" s="7"/>
      <c r="W1874" s="7"/>
      <c r="X1874" s="7"/>
      <c r="Y1874" s="7"/>
      <c r="Z1874" s="7"/>
      <c r="AA1874" s="7"/>
      <c r="AB1874" s="7"/>
      <c r="AC1874" s="7"/>
      <c r="AD1874" s="7"/>
    </row>
    <row r="1875" spans="1:30" s="367" customFormat="1" ht="22.5" customHeight="1">
      <c r="A1875" s="395"/>
      <c r="B1875" s="401" t="s">
        <v>1442</v>
      </c>
      <c r="C1875" s="397">
        <v>100</v>
      </c>
      <c r="D1875" s="397">
        <v>1</v>
      </c>
      <c r="E1875" s="397">
        <v>1</v>
      </c>
      <c r="F1875" s="410">
        <v>1</v>
      </c>
      <c r="G1875" s="338">
        <v>1</v>
      </c>
      <c r="H1875" s="410">
        <v>2.1</v>
      </c>
      <c r="I1875" s="399">
        <f t="shared" ref="I1875:I1895" si="75">PRODUCT(C1875:H1875)</f>
        <v>210</v>
      </c>
      <c r="J1875" s="396"/>
    </row>
    <row r="1876" spans="1:30" s="367" customFormat="1" ht="22.5" customHeight="1">
      <c r="A1876" s="395"/>
      <c r="B1876" s="401" t="s">
        <v>1442</v>
      </c>
      <c r="C1876" s="397">
        <v>2</v>
      </c>
      <c r="D1876" s="397">
        <v>1</v>
      </c>
      <c r="E1876" s="397">
        <v>1</v>
      </c>
      <c r="F1876" s="410">
        <v>1</v>
      </c>
      <c r="G1876" s="338">
        <v>1</v>
      </c>
      <c r="H1876" s="410">
        <v>2.1</v>
      </c>
      <c r="I1876" s="399">
        <f t="shared" si="75"/>
        <v>4.2</v>
      </c>
      <c r="J1876" s="396"/>
    </row>
    <row r="1877" spans="1:30" s="367" customFormat="1" ht="22.5" customHeight="1">
      <c r="A1877" s="395"/>
      <c r="B1877" s="401" t="s">
        <v>1448</v>
      </c>
      <c r="C1877" s="397">
        <v>100</v>
      </c>
      <c r="D1877" s="397">
        <v>1</v>
      </c>
      <c r="E1877" s="397">
        <v>1</v>
      </c>
      <c r="F1877" s="410">
        <v>1</v>
      </c>
      <c r="G1877" s="338">
        <v>1</v>
      </c>
      <c r="H1877" s="410">
        <v>0.6</v>
      </c>
      <c r="I1877" s="399">
        <f t="shared" si="75"/>
        <v>60</v>
      </c>
      <c r="J1877" s="396"/>
    </row>
    <row r="1878" spans="1:30" s="367" customFormat="1" ht="22.5" customHeight="1">
      <c r="A1878" s="395"/>
      <c r="B1878" s="401" t="s">
        <v>1449</v>
      </c>
      <c r="C1878" s="397">
        <v>100</v>
      </c>
      <c r="D1878" s="397">
        <v>1</v>
      </c>
      <c r="E1878" s="397">
        <v>1</v>
      </c>
      <c r="F1878" s="410">
        <v>1.5</v>
      </c>
      <c r="G1878" s="338">
        <v>1</v>
      </c>
      <c r="H1878" s="410">
        <v>1.8</v>
      </c>
      <c r="I1878" s="399">
        <f t="shared" si="75"/>
        <v>270</v>
      </c>
      <c r="J1878" s="396"/>
    </row>
    <row r="1879" spans="1:30" s="367" customFormat="1" ht="22.5" customHeight="1">
      <c r="A1879" s="395"/>
      <c r="B1879" s="401" t="s">
        <v>1450</v>
      </c>
      <c r="C1879" s="397">
        <v>100</v>
      </c>
      <c r="D1879" s="397">
        <v>1</v>
      </c>
      <c r="E1879" s="397">
        <v>1</v>
      </c>
      <c r="F1879" s="410">
        <v>1.1000000000000001</v>
      </c>
      <c r="G1879" s="338">
        <v>1</v>
      </c>
      <c r="H1879" s="410">
        <v>1.05</v>
      </c>
      <c r="I1879" s="399">
        <f t="shared" si="75"/>
        <v>115.5</v>
      </c>
      <c r="J1879" s="396"/>
    </row>
    <row r="1880" spans="1:30" s="367" customFormat="1" ht="22.5" customHeight="1">
      <c r="A1880" s="395"/>
      <c r="B1880" s="401" t="s">
        <v>1440</v>
      </c>
      <c r="C1880" s="397">
        <v>100</v>
      </c>
      <c r="D1880" s="397">
        <v>1</v>
      </c>
      <c r="E1880" s="397">
        <v>1</v>
      </c>
      <c r="F1880" s="410">
        <v>1.8</v>
      </c>
      <c r="G1880" s="338">
        <v>1</v>
      </c>
      <c r="H1880" s="410">
        <v>1.35</v>
      </c>
      <c r="I1880" s="399">
        <f t="shared" si="75"/>
        <v>243</v>
      </c>
      <c r="J1880" s="396"/>
    </row>
    <row r="1881" spans="1:30" s="367" customFormat="1" ht="22.5" customHeight="1">
      <c r="A1881" s="395"/>
      <c r="B1881" s="401" t="s">
        <v>1436</v>
      </c>
      <c r="C1881" s="397">
        <v>100</v>
      </c>
      <c r="D1881" s="397">
        <v>1</v>
      </c>
      <c r="E1881" s="397">
        <v>1</v>
      </c>
      <c r="F1881" s="410">
        <v>1.5</v>
      </c>
      <c r="G1881" s="338">
        <v>1</v>
      </c>
      <c r="H1881" s="410">
        <v>1.35</v>
      </c>
      <c r="I1881" s="399">
        <f t="shared" si="75"/>
        <v>202.5</v>
      </c>
      <c r="J1881" s="396"/>
    </row>
    <row r="1882" spans="1:30" s="367" customFormat="1" ht="22.5" customHeight="1">
      <c r="A1882" s="395"/>
      <c r="B1882" s="401" t="s">
        <v>1451</v>
      </c>
      <c r="C1882" s="397">
        <v>100</v>
      </c>
      <c r="D1882" s="397">
        <v>2</v>
      </c>
      <c r="E1882" s="397">
        <v>1</v>
      </c>
      <c r="F1882" s="410">
        <v>0.75</v>
      </c>
      <c r="G1882" s="338">
        <v>1</v>
      </c>
      <c r="H1882" s="410">
        <v>0.75</v>
      </c>
      <c r="I1882" s="399">
        <f t="shared" si="75"/>
        <v>112.5</v>
      </c>
      <c r="J1882" s="396"/>
    </row>
    <row r="1883" spans="1:30" s="367" customFormat="1" ht="22.5" customHeight="1">
      <c r="A1883" s="395"/>
      <c r="B1883" s="401" t="s">
        <v>1452</v>
      </c>
      <c r="C1883" s="397">
        <v>100</v>
      </c>
      <c r="D1883" s="397">
        <v>1</v>
      </c>
      <c r="E1883" s="397">
        <v>1</v>
      </c>
      <c r="F1883" s="410">
        <v>1.9</v>
      </c>
      <c r="G1883" s="338">
        <v>1</v>
      </c>
      <c r="H1883" s="410">
        <v>1.1000000000000001</v>
      </c>
      <c r="I1883" s="399">
        <f t="shared" si="75"/>
        <v>209</v>
      </c>
      <c r="J1883" s="396"/>
    </row>
    <row r="1884" spans="1:30" s="367" customFormat="1" ht="22.5" customHeight="1">
      <c r="A1884" s="395"/>
      <c r="B1884" s="401" t="s">
        <v>1453</v>
      </c>
      <c r="C1884" s="397">
        <v>100</v>
      </c>
      <c r="D1884" s="397">
        <v>1</v>
      </c>
      <c r="E1884" s="397">
        <v>1</v>
      </c>
      <c r="F1884" s="410">
        <v>1.6</v>
      </c>
      <c r="G1884" s="338">
        <v>1</v>
      </c>
      <c r="H1884" s="410">
        <v>1.1000000000000001</v>
      </c>
      <c r="I1884" s="399">
        <f t="shared" si="75"/>
        <v>176</v>
      </c>
      <c r="J1884" s="396"/>
    </row>
    <row r="1885" spans="1:30" s="367" customFormat="1" ht="22.5" customHeight="1">
      <c r="A1885" s="395"/>
      <c r="B1885" s="401" t="s">
        <v>1454</v>
      </c>
      <c r="C1885" s="397">
        <v>10</v>
      </c>
      <c r="D1885" s="397">
        <v>1</v>
      </c>
      <c r="E1885" s="397">
        <v>2</v>
      </c>
      <c r="F1885" s="410">
        <v>0.45</v>
      </c>
      <c r="G1885" s="338">
        <v>1</v>
      </c>
      <c r="H1885" s="410">
        <v>0.75</v>
      </c>
      <c r="I1885" s="399">
        <f t="shared" si="75"/>
        <v>6.75</v>
      </c>
      <c r="J1885" s="396"/>
    </row>
    <row r="1886" spans="1:30" s="367" customFormat="1" ht="22.5" customHeight="1">
      <c r="A1886" s="395"/>
      <c r="B1886" s="401" t="s">
        <v>1455</v>
      </c>
      <c r="C1886" s="397">
        <v>10</v>
      </c>
      <c r="D1886" s="397">
        <v>1</v>
      </c>
      <c r="E1886" s="397">
        <v>6</v>
      </c>
      <c r="F1886" s="410">
        <v>2.4</v>
      </c>
      <c r="G1886" s="338">
        <v>1</v>
      </c>
      <c r="H1886" s="410">
        <v>1.1000000000000001</v>
      </c>
      <c r="I1886" s="399">
        <f t="shared" si="75"/>
        <v>158.4</v>
      </c>
      <c r="J1886" s="396"/>
    </row>
    <row r="1887" spans="1:30" s="367" customFormat="1" ht="22.5" customHeight="1">
      <c r="A1887" s="395"/>
      <c r="B1887" s="401" t="s">
        <v>1455</v>
      </c>
      <c r="C1887" s="397">
        <v>10</v>
      </c>
      <c r="D1887" s="397">
        <v>1</v>
      </c>
      <c r="E1887" s="397">
        <v>2</v>
      </c>
      <c r="F1887" s="410">
        <v>1.8</v>
      </c>
      <c r="G1887" s="338">
        <v>1</v>
      </c>
      <c r="H1887" s="410">
        <v>1.1000000000000001</v>
      </c>
      <c r="I1887" s="399">
        <f t="shared" si="75"/>
        <v>39.6</v>
      </c>
      <c r="J1887" s="396"/>
    </row>
    <row r="1888" spans="1:30" s="367" customFormat="1" ht="22.5" customHeight="1">
      <c r="A1888" s="395"/>
      <c r="B1888" s="401" t="s">
        <v>1455</v>
      </c>
      <c r="C1888" s="397">
        <v>10</v>
      </c>
      <c r="D1888" s="397">
        <v>1</v>
      </c>
      <c r="E1888" s="397">
        <v>2</v>
      </c>
      <c r="F1888" s="410">
        <v>0.9</v>
      </c>
      <c r="G1888" s="338">
        <v>1</v>
      </c>
      <c r="H1888" s="410">
        <v>1.1000000000000001</v>
      </c>
      <c r="I1888" s="399">
        <f t="shared" si="75"/>
        <v>19.8</v>
      </c>
      <c r="J1888" s="396"/>
    </row>
    <row r="1889" spans="1:30" s="367" customFormat="1" ht="22.5" customHeight="1">
      <c r="A1889" s="395"/>
      <c r="B1889" s="401" t="s">
        <v>1455</v>
      </c>
      <c r="C1889" s="397">
        <v>10</v>
      </c>
      <c r="D1889" s="397">
        <v>1</v>
      </c>
      <c r="E1889" s="397">
        <v>2</v>
      </c>
      <c r="F1889" s="410">
        <v>0.75</v>
      </c>
      <c r="G1889" s="338">
        <v>1</v>
      </c>
      <c r="H1889" s="410">
        <v>1.1000000000000001</v>
      </c>
      <c r="I1889" s="399">
        <f t="shared" si="75"/>
        <v>16.5</v>
      </c>
      <c r="J1889" s="396"/>
    </row>
    <row r="1890" spans="1:30" s="367" customFormat="1" ht="22.5" customHeight="1">
      <c r="A1890" s="395"/>
      <c r="B1890" s="401" t="s">
        <v>1456</v>
      </c>
      <c r="C1890" s="397">
        <v>10</v>
      </c>
      <c r="D1890" s="397">
        <v>1</v>
      </c>
      <c r="E1890" s="397">
        <v>2</v>
      </c>
      <c r="F1890" s="410">
        <v>0.9</v>
      </c>
      <c r="G1890" s="338">
        <v>1</v>
      </c>
      <c r="H1890" s="410">
        <v>2.1</v>
      </c>
      <c r="I1890" s="399">
        <f t="shared" si="75"/>
        <v>37.799999999999997</v>
      </c>
      <c r="J1890" s="396"/>
    </row>
    <row r="1891" spans="1:30" s="367" customFormat="1" ht="22.5" customHeight="1">
      <c r="A1891" s="395"/>
      <c r="B1891" s="401" t="s">
        <v>1457</v>
      </c>
      <c r="C1891" s="397">
        <v>10</v>
      </c>
      <c r="D1891" s="397">
        <v>1</v>
      </c>
      <c r="E1891" s="397">
        <v>12</v>
      </c>
      <c r="F1891" s="410">
        <v>0.75</v>
      </c>
      <c r="G1891" s="338">
        <v>1</v>
      </c>
      <c r="H1891" s="410">
        <v>2.1</v>
      </c>
      <c r="I1891" s="399">
        <f t="shared" si="75"/>
        <v>189</v>
      </c>
      <c r="J1891" s="396"/>
    </row>
    <row r="1892" spans="1:30" s="367" customFormat="1" ht="22.5" customHeight="1">
      <c r="A1892" s="395"/>
      <c r="B1892" s="401" t="s">
        <v>1458</v>
      </c>
      <c r="C1892" s="397">
        <v>10</v>
      </c>
      <c r="D1892" s="397">
        <v>1</v>
      </c>
      <c r="E1892" s="397">
        <v>2</v>
      </c>
      <c r="F1892" s="410">
        <v>1.2</v>
      </c>
      <c r="G1892" s="338">
        <v>1</v>
      </c>
      <c r="H1892" s="410">
        <v>1.1000000000000001</v>
      </c>
      <c r="I1892" s="399">
        <f t="shared" si="75"/>
        <v>26.4</v>
      </c>
      <c r="J1892" s="396"/>
    </row>
    <row r="1893" spans="1:30" s="367" customFormat="1" ht="22.5" customHeight="1">
      <c r="A1893" s="395"/>
      <c r="B1893" s="401" t="s">
        <v>1459</v>
      </c>
      <c r="C1893" s="397">
        <v>10</v>
      </c>
      <c r="D1893" s="397">
        <v>1</v>
      </c>
      <c r="E1893" s="397">
        <v>1</v>
      </c>
      <c r="F1893" s="410">
        <v>2.4</v>
      </c>
      <c r="G1893" s="338">
        <v>1</v>
      </c>
      <c r="H1893" s="410">
        <v>1.35</v>
      </c>
      <c r="I1893" s="399">
        <f t="shared" si="75"/>
        <v>32.4</v>
      </c>
      <c r="J1893" s="396"/>
    </row>
    <row r="1894" spans="1:30" s="367" customFormat="1" ht="22.5" customHeight="1">
      <c r="A1894" s="395"/>
      <c r="B1894" s="401" t="s">
        <v>1459</v>
      </c>
      <c r="C1894" s="397">
        <v>10</v>
      </c>
      <c r="D1894" s="397">
        <v>1</v>
      </c>
      <c r="E1894" s="397">
        <v>1</v>
      </c>
      <c r="F1894" s="410">
        <v>3</v>
      </c>
      <c r="G1894" s="338">
        <v>1</v>
      </c>
      <c r="H1894" s="410">
        <v>1.35</v>
      </c>
      <c r="I1894" s="399">
        <f t="shared" si="75"/>
        <v>40.5</v>
      </c>
      <c r="J1894" s="396"/>
    </row>
    <row r="1895" spans="1:30" s="367" customFormat="1" ht="22.5" customHeight="1">
      <c r="A1895" s="395"/>
      <c r="B1895" s="401" t="s">
        <v>1460</v>
      </c>
      <c r="C1895" s="397">
        <v>1</v>
      </c>
      <c r="D1895" s="397">
        <v>1</v>
      </c>
      <c r="E1895" s="397">
        <v>1</v>
      </c>
      <c r="F1895" s="410">
        <v>1.5</v>
      </c>
      <c r="G1895" s="338">
        <v>1</v>
      </c>
      <c r="H1895" s="410">
        <v>2.1</v>
      </c>
      <c r="I1895" s="399">
        <f t="shared" si="75"/>
        <v>3.15</v>
      </c>
      <c r="J1895" s="396"/>
    </row>
    <row r="1896" spans="1:30" s="367" customFormat="1" ht="22.5" customHeight="1">
      <c r="A1896" s="395"/>
      <c r="B1896" s="396" t="s">
        <v>1424</v>
      </c>
      <c r="C1896" s="397"/>
      <c r="D1896" s="397"/>
      <c r="E1896" s="397"/>
      <c r="F1896" s="410"/>
      <c r="G1896" s="410"/>
      <c r="H1896" s="410"/>
      <c r="I1896" s="399"/>
      <c r="J1896" s="396"/>
    </row>
    <row r="1897" spans="1:30" s="367" customFormat="1" ht="22.5" customHeight="1">
      <c r="A1897" s="395"/>
      <c r="B1897" s="401" t="s">
        <v>1443</v>
      </c>
      <c r="C1897" s="397">
        <v>1</v>
      </c>
      <c r="D1897" s="397">
        <v>1</v>
      </c>
      <c r="E1897" s="397">
        <v>2</v>
      </c>
      <c r="F1897" s="410">
        <v>0.9</v>
      </c>
      <c r="G1897" s="338">
        <v>1</v>
      </c>
      <c r="H1897" s="410">
        <v>2.1</v>
      </c>
      <c r="I1897" s="399">
        <f t="shared" ref="I1897:I1902" si="76">PRODUCT(C1897:H1897)</f>
        <v>3.78</v>
      </c>
      <c r="J1897" s="396"/>
    </row>
    <row r="1898" spans="1:30" s="367" customFormat="1" ht="22.5" customHeight="1">
      <c r="A1898" s="395"/>
      <c r="B1898" s="401" t="s">
        <v>1444</v>
      </c>
      <c r="C1898" s="397">
        <v>1</v>
      </c>
      <c r="D1898" s="397">
        <v>1</v>
      </c>
      <c r="E1898" s="397">
        <v>1</v>
      </c>
      <c r="F1898" s="410">
        <v>1.5</v>
      </c>
      <c r="G1898" s="338">
        <v>1</v>
      </c>
      <c r="H1898" s="410">
        <v>2.1</v>
      </c>
      <c r="I1898" s="399">
        <f t="shared" si="76"/>
        <v>3.15</v>
      </c>
      <c r="J1898" s="396"/>
    </row>
    <row r="1899" spans="1:30" s="367" customFormat="1" ht="22.5" customHeight="1">
      <c r="A1899" s="395"/>
      <c r="B1899" s="401" t="s">
        <v>1445</v>
      </c>
      <c r="C1899" s="397">
        <v>1</v>
      </c>
      <c r="D1899" s="397">
        <v>1</v>
      </c>
      <c r="E1899" s="397">
        <v>2</v>
      </c>
      <c r="F1899" s="410">
        <v>1.2</v>
      </c>
      <c r="G1899" s="338">
        <v>1</v>
      </c>
      <c r="H1899" s="410">
        <v>2.1</v>
      </c>
      <c r="I1899" s="399">
        <f t="shared" si="76"/>
        <v>5.04</v>
      </c>
      <c r="J1899" s="396"/>
    </row>
    <row r="1900" spans="1:30" s="367" customFormat="1" ht="22.5" customHeight="1">
      <c r="A1900" s="395"/>
      <c r="B1900" s="401" t="s">
        <v>1457</v>
      </c>
      <c r="C1900" s="397">
        <v>1</v>
      </c>
      <c r="D1900" s="397">
        <v>1</v>
      </c>
      <c r="E1900" s="397">
        <v>5</v>
      </c>
      <c r="F1900" s="410">
        <v>0.75</v>
      </c>
      <c r="G1900" s="338">
        <v>1</v>
      </c>
      <c r="H1900" s="410">
        <v>2.1</v>
      </c>
      <c r="I1900" s="399">
        <f t="shared" si="76"/>
        <v>7.88</v>
      </c>
      <c r="J1900" s="396"/>
    </row>
    <row r="1901" spans="1:30" s="367" customFormat="1" ht="22.5" customHeight="1">
      <c r="A1901" s="395"/>
      <c r="B1901" s="401" t="s">
        <v>1436</v>
      </c>
      <c r="C1901" s="397">
        <v>1</v>
      </c>
      <c r="D1901" s="397">
        <v>1</v>
      </c>
      <c r="E1901" s="397">
        <v>5</v>
      </c>
      <c r="F1901" s="410">
        <v>1.5</v>
      </c>
      <c r="G1901" s="338">
        <v>1</v>
      </c>
      <c r="H1901" s="410">
        <v>1.35</v>
      </c>
      <c r="I1901" s="399">
        <f t="shared" si="76"/>
        <v>10.130000000000001</v>
      </c>
      <c r="J1901" s="396"/>
    </row>
    <row r="1902" spans="1:30" s="367" customFormat="1" ht="22.5" customHeight="1">
      <c r="A1902" s="395"/>
      <c r="B1902" s="401" t="s">
        <v>1461</v>
      </c>
      <c r="C1902" s="397">
        <v>1</v>
      </c>
      <c r="D1902" s="397">
        <v>1</v>
      </c>
      <c r="E1902" s="397">
        <v>10</v>
      </c>
      <c r="F1902" s="410">
        <v>4</v>
      </c>
      <c r="G1902" s="338">
        <v>1</v>
      </c>
      <c r="H1902" s="410">
        <v>0.45</v>
      </c>
      <c r="I1902" s="399">
        <f t="shared" si="76"/>
        <v>18</v>
      </c>
      <c r="J1902" s="396"/>
    </row>
    <row r="1903" spans="1:30" s="5" customFormat="1" ht="23.25" customHeight="1">
      <c r="A1903" s="370"/>
      <c r="B1903" s="342"/>
      <c r="C1903" s="346"/>
      <c r="D1903" s="280"/>
      <c r="E1903" s="346"/>
      <c r="F1903" s="337"/>
      <c r="G1903" s="337"/>
      <c r="H1903" s="412"/>
      <c r="I1903" s="339">
        <f>SUM(I1864:I1902)</f>
        <v>2265.0100000000002</v>
      </c>
      <c r="J1903" s="284"/>
      <c r="K1903" s="43"/>
      <c r="L1903" s="43"/>
      <c r="M1903" s="43"/>
      <c r="N1903" s="7">
        <v>8499.4500000000007</v>
      </c>
      <c r="O1903" s="7">
        <f>N1903/1036</f>
        <v>8.1999999999999993</v>
      </c>
      <c r="P1903" s="7">
        <f>O1903*112</f>
        <v>918.4</v>
      </c>
      <c r="Q1903" s="7">
        <f>I1903-P1903</f>
        <v>1346.61</v>
      </c>
      <c r="R1903" s="7"/>
      <c r="S1903" s="7"/>
      <c r="T1903" s="7"/>
      <c r="U1903" s="7"/>
      <c r="V1903" s="7"/>
      <c r="W1903" s="7"/>
      <c r="X1903" s="7"/>
      <c r="Y1903" s="7"/>
      <c r="Z1903" s="7"/>
      <c r="AA1903" s="7"/>
      <c r="AB1903" s="7"/>
      <c r="AC1903" s="7"/>
      <c r="AD1903" s="7"/>
    </row>
    <row r="1904" spans="1:30" s="5" customFormat="1" ht="23.25" customHeight="1">
      <c r="A1904" s="370"/>
      <c r="B1904" s="342"/>
      <c r="C1904" s="346"/>
      <c r="D1904" s="280"/>
      <c r="E1904" s="346"/>
      <c r="F1904" s="337"/>
      <c r="G1904" s="337"/>
      <c r="H1904" s="404" t="s">
        <v>55</v>
      </c>
      <c r="I1904" s="416">
        <f>ROUNDUP(I1903,1)</f>
        <v>2265.1</v>
      </c>
      <c r="J1904" s="287" t="s">
        <v>4</v>
      </c>
      <c r="K1904" s="42"/>
      <c r="L1904" s="42"/>
      <c r="M1904" s="42"/>
      <c r="N1904" s="7"/>
      <c r="O1904" s="7"/>
      <c r="P1904" s="7"/>
      <c r="Q1904" s="7"/>
      <c r="R1904" s="7"/>
      <c r="S1904" s="7"/>
      <c r="T1904" s="7"/>
      <c r="U1904" s="7"/>
      <c r="V1904" s="7"/>
      <c r="W1904" s="7"/>
      <c r="X1904" s="7"/>
      <c r="Y1904" s="7"/>
      <c r="Z1904" s="7"/>
      <c r="AA1904" s="7"/>
      <c r="AB1904" s="7"/>
      <c r="AC1904" s="7"/>
      <c r="AD1904" s="7"/>
    </row>
    <row r="1905" spans="1:30" s="5" customFormat="1" ht="23.25" customHeight="1">
      <c r="A1905" s="289">
        <v>46</v>
      </c>
      <c r="B1905" s="319" t="s">
        <v>562</v>
      </c>
      <c r="C1905" s="346"/>
      <c r="D1905" s="280"/>
      <c r="E1905" s="346"/>
      <c r="F1905" s="337"/>
      <c r="G1905" s="337"/>
      <c r="H1905" s="337"/>
      <c r="I1905" s="347"/>
      <c r="J1905" s="284"/>
      <c r="K1905" s="43"/>
      <c r="L1905" s="43"/>
      <c r="M1905" s="43"/>
      <c r="N1905" s="7"/>
      <c r="O1905" s="7"/>
      <c r="P1905" s="7"/>
      <c r="Q1905" s="7"/>
      <c r="R1905" s="7"/>
      <c r="S1905" s="7"/>
      <c r="T1905" s="7"/>
      <c r="U1905" s="7"/>
      <c r="V1905" s="7"/>
      <c r="W1905" s="7"/>
      <c r="X1905" s="7"/>
      <c r="Y1905" s="7"/>
      <c r="Z1905" s="7"/>
      <c r="AA1905" s="7"/>
      <c r="AB1905" s="7"/>
      <c r="AC1905" s="7"/>
      <c r="AD1905" s="7"/>
    </row>
    <row r="1906" spans="1:30" s="5" customFormat="1" ht="23.25" customHeight="1">
      <c r="A1906" s="289"/>
      <c r="B1906" s="293" t="s">
        <v>876</v>
      </c>
      <c r="C1906" s="294">
        <v>10</v>
      </c>
      <c r="D1906" s="280">
        <v>10</v>
      </c>
      <c r="E1906" s="294">
        <v>2</v>
      </c>
      <c r="F1906" s="338">
        <v>1</v>
      </c>
      <c r="G1906" s="337"/>
      <c r="H1906" s="337"/>
      <c r="I1906" s="347">
        <f>PRODUCT(C1906:H1906)</f>
        <v>200</v>
      </c>
      <c r="J1906" s="284"/>
      <c r="K1906" s="43"/>
      <c r="L1906" s="43"/>
      <c r="M1906" s="43"/>
      <c r="N1906" s="7"/>
      <c r="O1906" s="7"/>
      <c r="P1906" s="7"/>
      <c r="Q1906" s="7"/>
      <c r="R1906" s="7"/>
      <c r="S1906" s="7"/>
      <c r="T1906" s="7"/>
      <c r="U1906" s="7"/>
      <c r="V1906" s="7"/>
      <c r="W1906" s="7"/>
      <c r="X1906" s="7"/>
      <c r="Y1906" s="7"/>
      <c r="Z1906" s="7"/>
      <c r="AA1906" s="7"/>
      <c r="AB1906" s="7"/>
      <c r="AC1906" s="7"/>
      <c r="AD1906" s="7"/>
    </row>
    <row r="1907" spans="1:30" s="5" customFormat="1" ht="23.25" customHeight="1">
      <c r="A1907" s="289"/>
      <c r="B1907" s="293"/>
      <c r="C1907" s="294"/>
      <c r="D1907" s="280"/>
      <c r="E1907" s="294"/>
      <c r="F1907" s="338"/>
      <c r="G1907" s="337"/>
      <c r="H1907" s="337"/>
      <c r="I1907" s="339">
        <f>SUM(I1906:I1906)</f>
        <v>200</v>
      </c>
      <c r="J1907" s="343" t="s">
        <v>47</v>
      </c>
      <c r="K1907" s="44"/>
      <c r="L1907" s="44"/>
      <c r="M1907" s="44"/>
      <c r="N1907" s="7"/>
      <c r="O1907" s="7"/>
      <c r="P1907" s="7"/>
      <c r="Q1907" s="7"/>
      <c r="R1907" s="7"/>
      <c r="S1907" s="7"/>
      <c r="T1907" s="7"/>
      <c r="U1907" s="7"/>
      <c r="V1907" s="7"/>
      <c r="W1907" s="7"/>
      <c r="X1907" s="7"/>
      <c r="Y1907" s="7"/>
      <c r="Z1907" s="7"/>
      <c r="AA1907" s="7"/>
      <c r="AB1907" s="7"/>
      <c r="AC1907" s="7"/>
      <c r="AD1907" s="7"/>
    </row>
    <row r="1908" spans="1:30" s="5" customFormat="1" ht="23.25" customHeight="1">
      <c r="A1908" s="289">
        <v>47</v>
      </c>
      <c r="B1908" s="319" t="s">
        <v>561</v>
      </c>
      <c r="C1908" s="346"/>
      <c r="D1908" s="280"/>
      <c r="E1908" s="346"/>
      <c r="F1908" s="337"/>
      <c r="G1908" s="337"/>
      <c r="H1908" s="337"/>
      <c r="I1908" s="339"/>
      <c r="J1908" s="284"/>
      <c r="K1908" s="43"/>
      <c r="L1908" s="43"/>
      <c r="M1908" s="43"/>
      <c r="N1908" s="7"/>
      <c r="O1908" s="7"/>
      <c r="P1908" s="7"/>
      <c r="Q1908" s="7"/>
      <c r="R1908" s="7"/>
      <c r="S1908" s="7"/>
      <c r="T1908" s="7"/>
      <c r="U1908" s="7"/>
      <c r="V1908" s="7"/>
      <c r="W1908" s="7"/>
      <c r="X1908" s="7"/>
      <c r="Y1908" s="7"/>
      <c r="Z1908" s="7"/>
      <c r="AA1908" s="7"/>
      <c r="AB1908" s="7"/>
      <c r="AC1908" s="7"/>
      <c r="AD1908" s="7"/>
    </row>
    <row r="1909" spans="1:30" s="5" customFormat="1" ht="23.25" customHeight="1">
      <c r="A1909" s="289"/>
      <c r="B1909" s="293" t="s">
        <v>560</v>
      </c>
      <c r="C1909" s="294">
        <v>1</v>
      </c>
      <c r="D1909" s="280">
        <v>1</v>
      </c>
      <c r="E1909" s="294">
        <v>2</v>
      </c>
      <c r="F1909" s="337"/>
      <c r="G1909" s="337"/>
      <c r="H1909" s="337"/>
      <c r="I1909" s="347">
        <f>PRODUCT(C1909:H1909)</f>
        <v>2</v>
      </c>
      <c r="J1909" s="284"/>
      <c r="K1909" s="43"/>
      <c r="L1909" s="43"/>
      <c r="M1909" s="43"/>
      <c r="N1909" s="7"/>
      <c r="O1909" s="7"/>
      <c r="P1909" s="7"/>
      <c r="Q1909" s="7"/>
      <c r="R1909" s="7"/>
      <c r="S1909" s="7"/>
      <c r="T1909" s="7"/>
      <c r="U1909" s="7"/>
      <c r="V1909" s="7"/>
      <c r="W1909" s="7"/>
      <c r="X1909" s="7"/>
      <c r="Y1909" s="7"/>
      <c r="Z1909" s="7"/>
      <c r="AA1909" s="7"/>
      <c r="AB1909" s="7"/>
      <c r="AC1909" s="7"/>
      <c r="AD1909" s="7"/>
    </row>
    <row r="1910" spans="1:30" s="5" customFormat="1" ht="23.25" customHeight="1">
      <c r="A1910" s="289"/>
      <c r="B1910" s="293" t="s">
        <v>875</v>
      </c>
      <c r="C1910" s="294">
        <v>10</v>
      </c>
      <c r="D1910" s="280">
        <v>10</v>
      </c>
      <c r="E1910" s="294">
        <v>2</v>
      </c>
      <c r="F1910" s="337"/>
      <c r="G1910" s="337"/>
      <c r="H1910" s="337"/>
      <c r="I1910" s="347">
        <f>PRODUCT(C1910:H1910)</f>
        <v>200</v>
      </c>
      <c r="J1910" s="284"/>
      <c r="K1910" s="43"/>
      <c r="L1910" s="43"/>
      <c r="M1910" s="43"/>
      <c r="N1910" s="7"/>
      <c r="O1910" s="7"/>
      <c r="P1910" s="7"/>
      <c r="Q1910" s="7"/>
      <c r="R1910" s="7"/>
      <c r="S1910" s="7"/>
      <c r="T1910" s="7"/>
      <c r="U1910" s="7"/>
      <c r="V1910" s="7"/>
      <c r="W1910" s="7"/>
      <c r="X1910" s="7"/>
      <c r="Y1910" s="7"/>
      <c r="Z1910" s="7"/>
      <c r="AA1910" s="7"/>
      <c r="AB1910" s="7"/>
      <c r="AC1910" s="7"/>
      <c r="AD1910" s="7"/>
    </row>
    <row r="1911" spans="1:30" s="5" customFormat="1" ht="23.25" customHeight="1">
      <c r="A1911" s="289"/>
      <c r="B1911" s="293"/>
      <c r="C1911" s="294"/>
      <c r="D1911" s="280"/>
      <c r="E1911" s="294"/>
      <c r="F1911" s="338"/>
      <c r="G1911" s="338"/>
      <c r="H1911" s="338"/>
      <c r="I1911" s="339">
        <f>SUM(I1909:I1910)</f>
        <v>202</v>
      </c>
      <c r="J1911" s="343" t="s">
        <v>23</v>
      </c>
      <c r="K1911" s="44"/>
      <c r="L1911" s="44"/>
      <c r="M1911" s="44"/>
      <c r="N1911" s="7"/>
      <c r="O1911" s="7"/>
      <c r="P1911" s="7"/>
      <c r="Q1911" s="7"/>
      <c r="R1911" s="7"/>
      <c r="S1911" s="7"/>
      <c r="T1911" s="7"/>
      <c r="U1911" s="7"/>
      <c r="V1911" s="7"/>
      <c r="W1911" s="7"/>
      <c r="X1911" s="7"/>
      <c r="Y1911" s="7"/>
      <c r="Z1911" s="7"/>
      <c r="AA1911" s="7"/>
      <c r="AB1911" s="7"/>
      <c r="AC1911" s="7"/>
      <c r="AD1911" s="7"/>
    </row>
    <row r="1912" spans="1:30" s="5" customFormat="1" ht="23.25" customHeight="1">
      <c r="A1912" s="289">
        <v>48</v>
      </c>
      <c r="B1912" s="319" t="s">
        <v>559</v>
      </c>
      <c r="C1912" s="346"/>
      <c r="D1912" s="280"/>
      <c r="E1912" s="346"/>
      <c r="F1912" s="337"/>
      <c r="G1912" s="337"/>
      <c r="H1912" s="337"/>
      <c r="I1912" s="339"/>
      <c r="J1912" s="284"/>
      <c r="K1912" s="43"/>
      <c r="L1912" s="43"/>
      <c r="M1912" s="43"/>
      <c r="N1912" s="7"/>
      <c r="O1912" s="7"/>
      <c r="P1912" s="7"/>
      <c r="Q1912" s="7"/>
      <c r="R1912" s="7"/>
      <c r="S1912" s="7"/>
      <c r="T1912" s="7"/>
      <c r="U1912" s="7"/>
      <c r="V1912" s="7"/>
      <c r="W1912" s="7"/>
      <c r="X1912" s="7"/>
      <c r="Y1912" s="7"/>
      <c r="Z1912" s="7"/>
      <c r="AA1912" s="7"/>
      <c r="AB1912" s="7"/>
      <c r="AC1912" s="7"/>
      <c r="AD1912" s="7"/>
    </row>
    <row r="1913" spans="1:30" s="5" customFormat="1" ht="23.25" customHeight="1">
      <c r="A1913" s="289"/>
      <c r="B1913" s="293" t="s">
        <v>558</v>
      </c>
      <c r="C1913" s="294">
        <v>1</v>
      </c>
      <c r="D1913" s="280">
        <v>1</v>
      </c>
      <c r="E1913" s="294">
        <v>2</v>
      </c>
      <c r="F1913" s="337"/>
      <c r="G1913" s="337"/>
      <c r="H1913" s="337"/>
      <c r="I1913" s="347">
        <f>PRODUCT(C1913:H1913)</f>
        <v>2</v>
      </c>
      <c r="J1913" s="284"/>
      <c r="K1913" s="43"/>
      <c r="L1913" s="43"/>
      <c r="M1913" s="43"/>
      <c r="N1913" s="7"/>
      <c r="O1913" s="7"/>
      <c r="P1913" s="7"/>
      <c r="Q1913" s="7"/>
      <c r="R1913" s="7"/>
      <c r="S1913" s="7"/>
      <c r="T1913" s="7"/>
      <c r="U1913" s="7"/>
      <c r="V1913" s="7"/>
      <c r="W1913" s="7"/>
      <c r="X1913" s="7"/>
      <c r="Y1913" s="7"/>
      <c r="Z1913" s="7"/>
      <c r="AA1913" s="7"/>
      <c r="AB1913" s="7"/>
      <c r="AC1913" s="7"/>
      <c r="AD1913" s="7"/>
    </row>
    <row r="1914" spans="1:30" s="5" customFormat="1" ht="23.25" customHeight="1">
      <c r="A1914" s="289"/>
      <c r="B1914" s="293" t="s">
        <v>879</v>
      </c>
      <c r="C1914" s="294">
        <v>10</v>
      </c>
      <c r="D1914" s="280">
        <v>10</v>
      </c>
      <c r="E1914" s="294">
        <v>2</v>
      </c>
      <c r="F1914" s="337"/>
      <c r="G1914" s="337"/>
      <c r="H1914" s="337"/>
      <c r="I1914" s="347">
        <f>PRODUCT(C1914:H1914)</f>
        <v>200</v>
      </c>
      <c r="J1914" s="284"/>
      <c r="K1914" s="43"/>
      <c r="L1914" s="43"/>
      <c r="M1914" s="43"/>
      <c r="N1914" s="7"/>
      <c r="O1914" s="7"/>
      <c r="P1914" s="7"/>
      <c r="Q1914" s="7"/>
      <c r="R1914" s="7"/>
      <c r="S1914" s="7"/>
      <c r="T1914" s="7"/>
      <c r="U1914" s="7"/>
      <c r="V1914" s="7"/>
      <c r="W1914" s="7"/>
      <c r="X1914" s="7"/>
      <c r="Y1914" s="7"/>
      <c r="Z1914" s="7"/>
      <c r="AA1914" s="7"/>
      <c r="AB1914" s="7"/>
      <c r="AC1914" s="7"/>
      <c r="AD1914" s="7"/>
    </row>
    <row r="1915" spans="1:30" s="5" customFormat="1" ht="23.25" customHeight="1">
      <c r="A1915" s="289"/>
      <c r="B1915" s="293"/>
      <c r="C1915" s="294"/>
      <c r="D1915" s="280"/>
      <c r="E1915" s="294"/>
      <c r="F1915" s="338"/>
      <c r="G1915" s="337"/>
      <c r="H1915" s="337"/>
      <c r="I1915" s="339">
        <f>SUM(I1913:I1914)</f>
        <v>202</v>
      </c>
      <c r="J1915" s="343" t="s">
        <v>23</v>
      </c>
      <c r="K1915" s="44"/>
      <c r="L1915" s="44"/>
      <c r="M1915" s="44"/>
      <c r="N1915" s="7"/>
      <c r="O1915" s="7"/>
      <c r="P1915" s="7"/>
      <c r="Q1915" s="7"/>
      <c r="R1915" s="7"/>
      <c r="S1915" s="7"/>
      <c r="T1915" s="7"/>
      <c r="U1915" s="7"/>
      <c r="V1915" s="7"/>
      <c r="W1915" s="7"/>
      <c r="X1915" s="7"/>
      <c r="Y1915" s="7"/>
      <c r="Z1915" s="7"/>
      <c r="AA1915" s="7"/>
      <c r="AB1915" s="7"/>
      <c r="AC1915" s="7"/>
      <c r="AD1915" s="7"/>
    </row>
    <row r="1916" spans="1:30" s="5" customFormat="1" ht="23.25" customHeight="1">
      <c r="A1916" s="289">
        <v>49</v>
      </c>
      <c r="B1916" s="319" t="s">
        <v>557</v>
      </c>
      <c r="C1916" s="346"/>
      <c r="D1916" s="280"/>
      <c r="E1916" s="346"/>
      <c r="F1916" s="337"/>
      <c r="G1916" s="337"/>
      <c r="H1916" s="337"/>
      <c r="I1916" s="339"/>
      <c r="J1916" s="284"/>
      <c r="K1916" s="43"/>
      <c r="L1916" s="43"/>
      <c r="M1916" s="43"/>
      <c r="N1916" s="7"/>
      <c r="O1916" s="7"/>
      <c r="P1916" s="7"/>
      <c r="Q1916" s="7"/>
      <c r="R1916" s="7"/>
      <c r="S1916" s="7"/>
      <c r="T1916" s="7"/>
      <c r="U1916" s="7"/>
      <c r="V1916" s="7"/>
      <c r="W1916" s="7"/>
      <c r="X1916" s="7"/>
      <c r="Y1916" s="7"/>
      <c r="Z1916" s="7"/>
      <c r="AA1916" s="7"/>
      <c r="AB1916" s="7"/>
      <c r="AC1916" s="7"/>
      <c r="AD1916" s="7"/>
    </row>
    <row r="1917" spans="1:30" s="367" customFormat="1" ht="22.5" customHeight="1">
      <c r="A1917" s="395"/>
      <c r="B1917" s="396" t="s">
        <v>1463</v>
      </c>
      <c r="C1917" s="397"/>
      <c r="D1917" s="397"/>
      <c r="E1917" s="397"/>
      <c r="F1917" s="410"/>
      <c r="G1917" s="410"/>
      <c r="H1917" s="410"/>
      <c r="I1917" s="399"/>
      <c r="J1917" s="396"/>
    </row>
    <row r="1918" spans="1:30" s="367" customFormat="1" ht="22.5" customHeight="1">
      <c r="A1918" s="395"/>
      <c r="B1918" s="401" t="s">
        <v>1448</v>
      </c>
      <c r="C1918" s="397">
        <v>100</v>
      </c>
      <c r="D1918" s="397">
        <v>1</v>
      </c>
      <c r="E1918" s="397">
        <v>2</v>
      </c>
      <c r="F1918" s="410" t="s">
        <v>26</v>
      </c>
      <c r="G1918" s="410" t="s">
        <v>26</v>
      </c>
      <c r="H1918" s="410" t="s">
        <v>26</v>
      </c>
      <c r="I1918" s="399">
        <f t="shared" ref="I1918:I1925" si="77">PRODUCT(C1918:H1918)</f>
        <v>200</v>
      </c>
      <c r="J1918" s="396"/>
    </row>
    <row r="1919" spans="1:30" s="367" customFormat="1" ht="22.5" customHeight="1">
      <c r="A1919" s="395"/>
      <c r="B1919" s="401" t="s">
        <v>1443</v>
      </c>
      <c r="C1919" s="397">
        <v>100</v>
      </c>
      <c r="D1919" s="397">
        <v>2</v>
      </c>
      <c r="E1919" s="397">
        <v>2</v>
      </c>
      <c r="F1919" s="410" t="s">
        <v>26</v>
      </c>
      <c r="G1919" s="410" t="s">
        <v>26</v>
      </c>
      <c r="H1919" s="410" t="s">
        <v>26</v>
      </c>
      <c r="I1919" s="399">
        <f t="shared" si="77"/>
        <v>400</v>
      </c>
      <c r="J1919" s="396"/>
    </row>
    <row r="1920" spans="1:30" s="367" customFormat="1" ht="22.5" customHeight="1">
      <c r="A1920" s="395"/>
      <c r="B1920" s="401" t="s">
        <v>1464</v>
      </c>
      <c r="C1920" s="397">
        <v>100</v>
      </c>
      <c r="D1920" s="397">
        <v>1</v>
      </c>
      <c r="E1920" s="397">
        <v>2</v>
      </c>
      <c r="F1920" s="410" t="s">
        <v>26</v>
      </c>
      <c r="G1920" s="410" t="s">
        <v>26</v>
      </c>
      <c r="H1920" s="410" t="s">
        <v>26</v>
      </c>
      <c r="I1920" s="399">
        <f t="shared" si="77"/>
        <v>200</v>
      </c>
      <c r="J1920" s="396"/>
    </row>
    <row r="1921" spans="1:30" s="367" customFormat="1" ht="22.5" customHeight="1">
      <c r="A1921" s="395"/>
      <c r="B1921" s="401" t="s">
        <v>1442</v>
      </c>
      <c r="C1921" s="397">
        <v>100</v>
      </c>
      <c r="D1921" s="397">
        <v>1</v>
      </c>
      <c r="E1921" s="397">
        <v>2</v>
      </c>
      <c r="F1921" s="410" t="s">
        <v>26</v>
      </c>
      <c r="G1921" s="410" t="s">
        <v>26</v>
      </c>
      <c r="H1921" s="410" t="s">
        <v>26</v>
      </c>
      <c r="I1921" s="399">
        <f t="shared" si="77"/>
        <v>200</v>
      </c>
      <c r="J1921" s="396"/>
    </row>
    <row r="1922" spans="1:30" s="367" customFormat="1" ht="22.5" customHeight="1">
      <c r="A1922" s="395"/>
      <c r="B1922" s="401" t="s">
        <v>1449</v>
      </c>
      <c r="C1922" s="397">
        <v>100</v>
      </c>
      <c r="D1922" s="397">
        <v>1</v>
      </c>
      <c r="E1922" s="397">
        <v>2</v>
      </c>
      <c r="F1922" s="410" t="s">
        <v>26</v>
      </c>
      <c r="G1922" s="410" t="s">
        <v>26</v>
      </c>
      <c r="H1922" s="410" t="s">
        <v>26</v>
      </c>
      <c r="I1922" s="399">
        <f t="shared" si="77"/>
        <v>200</v>
      </c>
      <c r="J1922" s="396"/>
    </row>
    <row r="1923" spans="1:30" s="367" customFormat="1" ht="22.5" customHeight="1">
      <c r="A1923" s="395"/>
      <c r="B1923" s="401" t="s">
        <v>1465</v>
      </c>
      <c r="C1923" s="397">
        <v>100</v>
      </c>
      <c r="D1923" s="397">
        <v>1</v>
      </c>
      <c r="E1923" s="397">
        <v>2</v>
      </c>
      <c r="F1923" s="410" t="s">
        <v>26</v>
      </c>
      <c r="G1923" s="410" t="s">
        <v>26</v>
      </c>
      <c r="H1923" s="410" t="s">
        <v>26</v>
      </c>
      <c r="I1923" s="399">
        <f t="shared" si="77"/>
        <v>200</v>
      </c>
      <c r="J1923" s="396"/>
    </row>
    <row r="1924" spans="1:30" s="367" customFormat="1" ht="22.5" customHeight="1">
      <c r="A1924" s="395"/>
      <c r="B1924" s="401" t="s">
        <v>1440</v>
      </c>
      <c r="C1924" s="397">
        <v>100</v>
      </c>
      <c r="D1924" s="397">
        <v>1</v>
      </c>
      <c r="E1924" s="397">
        <v>2</v>
      </c>
      <c r="F1924" s="410" t="s">
        <v>26</v>
      </c>
      <c r="G1924" s="410" t="s">
        <v>26</v>
      </c>
      <c r="H1924" s="410" t="s">
        <v>26</v>
      </c>
      <c r="I1924" s="399">
        <f t="shared" si="77"/>
        <v>200</v>
      </c>
      <c r="J1924" s="396"/>
    </row>
    <row r="1925" spans="1:30" s="367" customFormat="1" ht="22.5" customHeight="1">
      <c r="A1925" s="395"/>
      <c r="B1925" s="401" t="s">
        <v>1436</v>
      </c>
      <c r="C1925" s="397">
        <v>100</v>
      </c>
      <c r="D1925" s="397">
        <v>1</v>
      </c>
      <c r="E1925" s="397">
        <v>2</v>
      </c>
      <c r="F1925" s="410" t="s">
        <v>26</v>
      </c>
      <c r="G1925" s="410" t="s">
        <v>26</v>
      </c>
      <c r="H1925" s="410" t="s">
        <v>26</v>
      </c>
      <c r="I1925" s="399">
        <f t="shared" si="77"/>
        <v>200</v>
      </c>
      <c r="J1925" s="396"/>
    </row>
    <row r="1926" spans="1:30" s="5" customFormat="1" ht="23.25" customHeight="1">
      <c r="A1926" s="289"/>
      <c r="B1926" s="342"/>
      <c r="C1926" s="294"/>
      <c r="D1926" s="280"/>
      <c r="E1926" s="294"/>
      <c r="F1926" s="338"/>
      <c r="G1926" s="595" t="s">
        <v>41</v>
      </c>
      <c r="H1926" s="596"/>
      <c r="I1926" s="339">
        <f>SUM(I1917:I1925)</f>
        <v>1800</v>
      </c>
      <c r="J1926" s="343" t="s">
        <v>23</v>
      </c>
      <c r="K1926" s="44"/>
      <c r="L1926" s="44"/>
      <c r="M1926" s="44"/>
      <c r="N1926" s="7"/>
      <c r="O1926" s="7"/>
      <c r="P1926" s="7"/>
      <c r="Q1926" s="7"/>
      <c r="R1926" s="7"/>
      <c r="S1926" s="7"/>
      <c r="T1926" s="7"/>
      <c r="U1926" s="7"/>
      <c r="V1926" s="7"/>
      <c r="W1926" s="7"/>
      <c r="X1926" s="7"/>
      <c r="Y1926" s="7"/>
      <c r="Z1926" s="7"/>
      <c r="AA1926" s="7"/>
      <c r="AB1926" s="7"/>
      <c r="AC1926" s="7"/>
      <c r="AD1926" s="7"/>
    </row>
    <row r="1927" spans="1:30" s="102" customFormat="1" ht="23.25" customHeight="1">
      <c r="A1927" s="289">
        <v>50.3</v>
      </c>
      <c r="B1927" s="293" t="s">
        <v>39</v>
      </c>
      <c r="C1927" s="294"/>
      <c r="D1927" s="280"/>
      <c r="E1927" s="294"/>
      <c r="F1927" s="338"/>
      <c r="G1927" s="338"/>
      <c r="H1927" s="338"/>
      <c r="I1927" s="347"/>
      <c r="J1927" s="340"/>
      <c r="K1927" s="39"/>
      <c r="L1927" s="39"/>
      <c r="M1927" s="39"/>
      <c r="N1927" s="103"/>
      <c r="O1927" s="103"/>
      <c r="P1927" s="103"/>
      <c r="Q1927" s="103"/>
      <c r="R1927" s="103"/>
      <c r="S1927" s="103"/>
      <c r="T1927" s="103"/>
      <c r="U1927" s="103"/>
      <c r="V1927" s="103"/>
      <c r="W1927" s="103"/>
      <c r="X1927" s="103"/>
      <c r="Y1927" s="103"/>
      <c r="Z1927" s="103"/>
      <c r="AA1927" s="103"/>
      <c r="AB1927" s="103"/>
      <c r="AC1927" s="103"/>
      <c r="AD1927" s="103"/>
    </row>
    <row r="1928" spans="1:30" s="102" customFormat="1" ht="23.25" customHeight="1">
      <c r="A1928" s="289"/>
      <c r="B1928" s="293" t="s">
        <v>72</v>
      </c>
      <c r="C1928" s="294">
        <v>1</v>
      </c>
      <c r="D1928" s="280">
        <v>1</v>
      </c>
      <c r="E1928" s="294">
        <v>25</v>
      </c>
      <c r="F1928" s="338"/>
      <c r="G1928" s="338"/>
      <c r="H1928" s="338"/>
      <c r="I1928" s="339">
        <f>PRODUCT(C1928:H1928)</f>
        <v>25</v>
      </c>
      <c r="J1928" s="343" t="s">
        <v>23</v>
      </c>
      <c r="K1928" s="44"/>
      <c r="L1928" s="44"/>
      <c r="M1928" s="44"/>
      <c r="N1928" s="103"/>
      <c r="O1928" s="103"/>
      <c r="P1928" s="103"/>
      <c r="Q1928" s="103"/>
      <c r="R1928" s="103"/>
      <c r="S1928" s="103"/>
      <c r="T1928" s="103"/>
      <c r="U1928" s="103"/>
      <c r="V1928" s="103"/>
      <c r="W1928" s="103"/>
      <c r="X1928" s="103"/>
      <c r="Y1928" s="103"/>
      <c r="Z1928" s="103"/>
      <c r="AA1928" s="103"/>
      <c r="AB1928" s="103"/>
      <c r="AC1928" s="103"/>
      <c r="AD1928" s="103"/>
    </row>
    <row r="1929" spans="1:30" s="102" customFormat="1" ht="23.25" customHeight="1">
      <c r="A1929" s="289"/>
      <c r="B1929" s="293"/>
      <c r="C1929" s="294"/>
      <c r="D1929" s="280"/>
      <c r="E1929" s="294"/>
      <c r="F1929" s="338"/>
      <c r="G1929" s="338"/>
      <c r="H1929" s="338"/>
      <c r="I1929" s="339"/>
      <c r="J1929" s="343"/>
      <c r="K1929" s="44"/>
      <c r="L1929" s="44"/>
      <c r="M1929" s="44"/>
      <c r="N1929" s="103"/>
      <c r="O1929" s="103"/>
      <c r="P1929" s="103"/>
      <c r="Q1929" s="103"/>
      <c r="R1929" s="103"/>
      <c r="S1929" s="103"/>
      <c r="T1929" s="103"/>
      <c r="U1929" s="103"/>
      <c r="V1929" s="103"/>
      <c r="W1929" s="103"/>
      <c r="X1929" s="103"/>
      <c r="Y1929" s="103"/>
      <c r="Z1929" s="103"/>
      <c r="AA1929" s="103"/>
      <c r="AB1929" s="103"/>
      <c r="AC1929" s="103"/>
      <c r="AD1929" s="103"/>
    </row>
    <row r="1930" spans="1:30" s="5" customFormat="1" ht="30" customHeight="1">
      <c r="A1930" s="289">
        <v>50.4</v>
      </c>
      <c r="B1930" s="293" t="s">
        <v>40</v>
      </c>
      <c r="C1930" s="294">
        <v>1</v>
      </c>
      <c r="D1930" s="280">
        <v>1</v>
      </c>
      <c r="E1930" s="294">
        <v>25</v>
      </c>
      <c r="F1930" s="338"/>
      <c r="G1930" s="338"/>
      <c r="H1930" s="338"/>
      <c r="I1930" s="339">
        <f>PRODUCT(C1930:H1930)</f>
        <v>25</v>
      </c>
      <c r="J1930" s="343" t="s">
        <v>23</v>
      </c>
      <c r="K1930" s="44"/>
      <c r="L1930" s="44"/>
      <c r="M1930" s="44"/>
      <c r="N1930" s="7"/>
      <c r="O1930" s="7"/>
      <c r="P1930" s="7"/>
      <c r="Q1930" s="7"/>
      <c r="R1930" s="7"/>
      <c r="S1930" s="7"/>
      <c r="T1930" s="7"/>
      <c r="U1930" s="7"/>
      <c r="V1930" s="7"/>
      <c r="W1930" s="7"/>
      <c r="X1930" s="7"/>
      <c r="Y1930" s="7"/>
      <c r="Z1930" s="7"/>
      <c r="AA1930" s="7"/>
      <c r="AB1930" s="7"/>
      <c r="AC1930" s="7"/>
      <c r="AD1930" s="7"/>
    </row>
    <row r="1931" spans="1:30" s="367" customFormat="1" ht="34.5" customHeight="1">
      <c r="A1931" s="395">
        <v>50.5</v>
      </c>
      <c r="B1931" s="396" t="str">
        <f>[3]building!B886</f>
        <v>SUPPLY OF DLINK - 8 Port POE - Manaqed switch 'Fon!: Min 16 ports,Rj45-10/100/1000Base T, Min 4 SFP, 1 Console Port POE: lEEE802.af support in all ports &amp; 802.at L:ourer supply: Built in. Layer2 Features: Spanning tree(STP) Static Port Trunking, 16K MAC Layer 2 tUlulticast Features: lnternet Group management protocol(IGMP)Snooping, IGMP V1N2, MLD- 'v l,rl'2 Security features : Broaocas;'Mr.ilticasUUrricast Storm Control [fanagenrent ieatures: \\eb baseC CLI simple Network Management Protocol (SNMP) Trap/Alarm/Log Secirity Control. POli Power Budget: 193 Watts.</v>
      </c>
      <c r="C1931" s="397"/>
      <c r="D1931" s="397"/>
      <c r="E1931" s="397"/>
      <c r="F1931" s="410"/>
      <c r="G1931" s="410"/>
      <c r="H1931" s="410"/>
      <c r="I1931" s="399"/>
      <c r="J1931" s="396"/>
    </row>
    <row r="1932" spans="1:30" s="367" customFormat="1" ht="22.5" customHeight="1">
      <c r="A1932" s="395"/>
      <c r="B1932" s="401" t="s">
        <v>1466</v>
      </c>
      <c r="C1932" s="397">
        <v>1</v>
      </c>
      <c r="D1932" s="397">
        <v>1</v>
      </c>
      <c r="E1932" s="397">
        <v>1</v>
      </c>
      <c r="F1932" s="410" t="s">
        <v>26</v>
      </c>
      <c r="G1932" s="410" t="s">
        <v>26</v>
      </c>
      <c r="H1932" s="410" t="s">
        <v>26</v>
      </c>
      <c r="I1932" s="399">
        <f>PRODUCT(C1932:H1932)</f>
        <v>1</v>
      </c>
      <c r="J1932" s="396"/>
    </row>
    <row r="1933" spans="1:30" s="367" customFormat="1" ht="22.5" customHeight="1">
      <c r="A1933" s="395"/>
      <c r="B1933" s="401"/>
      <c r="C1933" s="397"/>
      <c r="D1933" s="397"/>
      <c r="E1933" s="397"/>
      <c r="F1933" s="410"/>
      <c r="G1933" s="410"/>
      <c r="H1933" s="395" t="s">
        <v>41</v>
      </c>
      <c r="I1933" s="517">
        <f>SUM(I1932:I1932)</f>
        <v>1</v>
      </c>
      <c r="J1933" s="396"/>
    </row>
    <row r="1934" spans="1:30" s="367" customFormat="1" ht="22.5" customHeight="1">
      <c r="A1934" s="395"/>
      <c r="B1934" s="401"/>
      <c r="C1934" s="397"/>
      <c r="D1934" s="397"/>
      <c r="E1934" s="397"/>
      <c r="F1934" s="410"/>
      <c r="G1934" s="410"/>
      <c r="H1934" s="395" t="s">
        <v>55</v>
      </c>
      <c r="I1934" s="517">
        <f>ROUNDUP(I1933,1)</f>
        <v>1</v>
      </c>
      <c r="J1934" s="396" t="s">
        <v>31</v>
      </c>
    </row>
    <row r="1935" spans="1:30" s="5" customFormat="1" ht="23.25" customHeight="1">
      <c r="A1935" s="289">
        <v>52</v>
      </c>
      <c r="B1935" s="293" t="s">
        <v>556</v>
      </c>
      <c r="C1935" s="346"/>
      <c r="D1935" s="280"/>
      <c r="E1935" s="346"/>
      <c r="F1935" s="337"/>
      <c r="G1935" s="337"/>
      <c r="H1935" s="337"/>
      <c r="I1935" s="347"/>
      <c r="J1935" s="284"/>
      <c r="K1935" s="43"/>
      <c r="L1935" s="43"/>
      <c r="M1935" s="43"/>
      <c r="N1935" s="7"/>
      <c r="O1935" s="7"/>
      <c r="P1935" s="7"/>
      <c r="Q1935" s="7"/>
      <c r="R1935" s="7"/>
      <c r="S1935" s="7"/>
      <c r="T1935" s="7"/>
      <c r="U1935" s="7"/>
      <c r="V1935" s="7"/>
      <c r="W1935" s="7"/>
      <c r="X1935" s="7"/>
      <c r="Y1935" s="7"/>
      <c r="Z1935" s="7"/>
      <c r="AA1935" s="7"/>
      <c r="AB1935" s="7"/>
      <c r="AC1935" s="7"/>
      <c r="AD1935" s="7"/>
    </row>
    <row r="1936" spans="1:30" s="5" customFormat="1" ht="23.25" customHeight="1">
      <c r="A1936" s="289"/>
      <c r="B1936" s="319" t="s">
        <v>272</v>
      </c>
      <c r="C1936" s="294"/>
      <c r="D1936" s="280"/>
      <c r="E1936" s="294"/>
      <c r="F1936" s="338"/>
      <c r="G1936" s="338"/>
      <c r="H1936" s="338"/>
      <c r="I1936" s="339"/>
      <c r="J1936" s="343"/>
      <c r="K1936" s="44"/>
      <c r="L1936" s="44"/>
      <c r="M1936" s="44"/>
      <c r="N1936" s="7"/>
      <c r="O1936" s="7"/>
      <c r="P1936" s="7"/>
      <c r="Q1936" s="7"/>
      <c r="R1936" s="7"/>
      <c r="S1936" s="7"/>
      <c r="T1936" s="7"/>
      <c r="U1936" s="7"/>
      <c r="V1936" s="7"/>
      <c r="W1936" s="7"/>
      <c r="X1936" s="7"/>
      <c r="Y1936" s="7"/>
      <c r="Z1936" s="7"/>
      <c r="AA1936" s="7"/>
      <c r="AB1936" s="7"/>
      <c r="AC1936" s="7"/>
      <c r="AD1936" s="7"/>
    </row>
    <row r="1937" spans="1:30" s="49" customFormat="1" ht="19.5" customHeight="1">
      <c r="A1937" s="294"/>
      <c r="B1937" s="319" t="s">
        <v>90</v>
      </c>
      <c r="C1937" s="294"/>
      <c r="D1937" s="294"/>
      <c r="E1937" s="294"/>
      <c r="F1937" s="295"/>
      <c r="G1937" s="295"/>
      <c r="H1937" s="295"/>
      <c r="I1937" s="323"/>
      <c r="J1937" s="294"/>
      <c r="K1937" s="50"/>
      <c r="L1937" s="50"/>
      <c r="M1937" s="50"/>
      <c r="N1937" s="50"/>
      <c r="O1937" s="50"/>
      <c r="P1937" s="50"/>
      <c r="Q1937" s="50"/>
      <c r="R1937" s="50"/>
      <c r="S1937" s="50"/>
      <c r="T1937" s="50"/>
      <c r="U1937" s="50"/>
      <c r="V1937" s="50"/>
      <c r="W1937" s="50"/>
      <c r="X1937" s="50"/>
      <c r="Y1937" s="50"/>
      <c r="Z1937" s="50"/>
      <c r="AA1937" s="50"/>
      <c r="AB1937" s="50"/>
      <c r="AC1937" s="50"/>
      <c r="AD1937" s="50"/>
    </row>
    <row r="1938" spans="1:30" s="49" customFormat="1" ht="19.5" customHeight="1">
      <c r="A1938" s="294"/>
      <c r="B1938" s="293" t="s">
        <v>880</v>
      </c>
      <c r="C1938" s="294">
        <v>1</v>
      </c>
      <c r="D1938" s="294">
        <v>10</v>
      </c>
      <c r="E1938" s="294">
        <v>1</v>
      </c>
      <c r="F1938" s="295">
        <v>32</v>
      </c>
      <c r="G1938" s="295"/>
      <c r="H1938" s="295"/>
      <c r="I1938" s="323">
        <f t="shared" ref="I1938:I1943" si="78">PRODUCT(C1938:H1938)</f>
        <v>320</v>
      </c>
      <c r="J1938" s="294"/>
      <c r="K1938" s="50"/>
      <c r="L1938" s="50"/>
      <c r="M1938" s="50"/>
      <c r="N1938" s="50"/>
      <c r="O1938" s="50"/>
      <c r="P1938" s="50"/>
      <c r="Q1938" s="50"/>
      <c r="R1938" s="50"/>
      <c r="S1938" s="50"/>
      <c r="T1938" s="50"/>
      <c r="U1938" s="50"/>
      <c r="V1938" s="50"/>
      <c r="W1938" s="50"/>
      <c r="X1938" s="50"/>
      <c r="Y1938" s="50"/>
      <c r="Z1938" s="50"/>
      <c r="AA1938" s="50"/>
      <c r="AB1938" s="50"/>
      <c r="AC1938" s="50"/>
      <c r="AD1938" s="50"/>
    </row>
    <row r="1939" spans="1:30" s="49" customFormat="1" ht="19.5" customHeight="1">
      <c r="A1939" s="294"/>
      <c r="B1939" s="293" t="s">
        <v>881</v>
      </c>
      <c r="C1939" s="294">
        <v>1</v>
      </c>
      <c r="D1939" s="294">
        <v>10</v>
      </c>
      <c r="E1939" s="294">
        <v>1</v>
      </c>
      <c r="F1939" s="295">
        <v>14</v>
      </c>
      <c r="G1939" s="295"/>
      <c r="H1939" s="295"/>
      <c r="I1939" s="323">
        <f t="shared" si="78"/>
        <v>140</v>
      </c>
      <c r="J1939" s="294"/>
      <c r="K1939" s="50"/>
      <c r="L1939" s="50"/>
      <c r="M1939" s="50"/>
      <c r="N1939" s="51">
        <f>F1938+2.85+1.5</f>
        <v>36.35</v>
      </c>
      <c r="O1939" s="50"/>
      <c r="P1939" s="50"/>
      <c r="Q1939" s="50"/>
      <c r="R1939" s="50"/>
      <c r="S1939" s="50"/>
      <c r="T1939" s="50"/>
      <c r="U1939" s="50"/>
      <c r="V1939" s="50"/>
      <c r="W1939" s="50"/>
      <c r="X1939" s="50"/>
      <c r="Y1939" s="50"/>
      <c r="Z1939" s="50"/>
      <c r="AA1939" s="50"/>
      <c r="AB1939" s="50"/>
      <c r="AC1939" s="50"/>
      <c r="AD1939" s="50"/>
    </row>
    <row r="1940" spans="1:30" s="49" customFormat="1" ht="19.5" customHeight="1">
      <c r="A1940" s="294"/>
      <c r="B1940" s="293" t="s">
        <v>882</v>
      </c>
      <c r="C1940" s="294">
        <v>1</v>
      </c>
      <c r="D1940" s="294">
        <v>10</v>
      </c>
      <c r="E1940" s="294">
        <v>1</v>
      </c>
      <c r="F1940" s="295">
        <v>18.5</v>
      </c>
      <c r="G1940" s="295"/>
      <c r="H1940" s="295"/>
      <c r="I1940" s="323">
        <f t="shared" si="78"/>
        <v>185</v>
      </c>
      <c r="J1940" s="294"/>
      <c r="K1940" s="50"/>
      <c r="L1940" s="50"/>
      <c r="M1940" s="50"/>
      <c r="N1940" s="51">
        <f>F1939+2.85+1.5</f>
        <v>18.350000000000001</v>
      </c>
      <c r="O1940" s="50"/>
      <c r="P1940" s="50"/>
      <c r="Q1940" s="50"/>
      <c r="R1940" s="50"/>
      <c r="S1940" s="50"/>
      <c r="T1940" s="50"/>
      <c r="U1940" s="50"/>
      <c r="V1940" s="50"/>
      <c r="W1940" s="50"/>
      <c r="X1940" s="50"/>
      <c r="Y1940" s="50"/>
      <c r="Z1940" s="50"/>
      <c r="AA1940" s="50"/>
      <c r="AB1940" s="50"/>
      <c r="AC1940" s="50"/>
      <c r="AD1940" s="50"/>
    </row>
    <row r="1941" spans="1:30" s="49" customFormat="1" ht="19.5" customHeight="1">
      <c r="A1941" s="294"/>
      <c r="B1941" s="293" t="s">
        <v>883</v>
      </c>
      <c r="C1941" s="294">
        <v>1</v>
      </c>
      <c r="D1941" s="294">
        <v>10</v>
      </c>
      <c r="E1941" s="294">
        <v>1</v>
      </c>
      <c r="F1941" s="295">
        <v>21</v>
      </c>
      <c r="G1941" s="295"/>
      <c r="H1941" s="295"/>
      <c r="I1941" s="323">
        <f t="shared" si="78"/>
        <v>210</v>
      </c>
      <c r="J1941" s="294"/>
      <c r="K1941" s="50"/>
      <c r="L1941" s="50"/>
      <c r="M1941" s="50"/>
      <c r="N1941" s="51">
        <f>F1940+2.85+1.5</f>
        <v>22.85</v>
      </c>
      <c r="O1941" s="50"/>
      <c r="P1941" s="50"/>
      <c r="Q1941" s="50"/>
      <c r="R1941" s="50"/>
      <c r="S1941" s="50"/>
      <c r="T1941" s="50"/>
      <c r="U1941" s="50"/>
      <c r="V1941" s="50"/>
      <c r="W1941" s="50"/>
      <c r="X1941" s="50"/>
      <c r="Y1941" s="50"/>
      <c r="Z1941" s="50"/>
      <c r="AA1941" s="50"/>
      <c r="AB1941" s="50"/>
      <c r="AC1941" s="50"/>
      <c r="AD1941" s="50"/>
    </row>
    <row r="1942" spans="1:30" s="49" customFormat="1" ht="19.5" customHeight="1">
      <c r="A1942" s="294"/>
      <c r="B1942" s="293" t="s">
        <v>884</v>
      </c>
      <c r="C1942" s="294">
        <v>1</v>
      </c>
      <c r="D1942" s="294">
        <v>10</v>
      </c>
      <c r="E1942" s="294">
        <v>1</v>
      </c>
      <c r="F1942" s="295">
        <v>23</v>
      </c>
      <c r="G1942" s="295"/>
      <c r="H1942" s="295"/>
      <c r="I1942" s="323">
        <f t="shared" si="78"/>
        <v>230</v>
      </c>
      <c r="J1942" s="294"/>
      <c r="K1942" s="50"/>
      <c r="L1942" s="50"/>
      <c r="M1942" s="50"/>
      <c r="N1942" s="51">
        <f>F1941+2.85+1.5+1</f>
        <v>26.35</v>
      </c>
      <c r="O1942" s="50"/>
      <c r="P1942" s="50"/>
      <c r="Q1942" s="50"/>
      <c r="R1942" s="50"/>
      <c r="S1942" s="50"/>
      <c r="T1942" s="50"/>
      <c r="U1942" s="50"/>
      <c r="V1942" s="50"/>
      <c r="W1942" s="50"/>
      <c r="X1942" s="50"/>
      <c r="Y1942" s="50"/>
      <c r="Z1942" s="50"/>
      <c r="AA1942" s="50"/>
      <c r="AB1942" s="50"/>
      <c r="AC1942" s="50"/>
      <c r="AD1942" s="50"/>
    </row>
    <row r="1943" spans="1:30" s="49" customFormat="1" ht="19.5" customHeight="1">
      <c r="A1943" s="294"/>
      <c r="B1943" s="293" t="s">
        <v>885</v>
      </c>
      <c r="C1943" s="294">
        <v>1</v>
      </c>
      <c r="D1943" s="294">
        <v>2</v>
      </c>
      <c r="E1943" s="294">
        <v>1</v>
      </c>
      <c r="F1943" s="295">
        <v>42.5</v>
      </c>
      <c r="G1943" s="295"/>
      <c r="H1943" s="295"/>
      <c r="I1943" s="323">
        <f t="shared" si="78"/>
        <v>85</v>
      </c>
      <c r="J1943" s="294"/>
      <c r="K1943" s="50"/>
      <c r="L1943" s="50"/>
      <c r="M1943" s="50"/>
      <c r="N1943" s="51"/>
      <c r="O1943" s="50"/>
      <c r="P1943" s="50"/>
      <c r="Q1943" s="50"/>
      <c r="R1943" s="50"/>
      <c r="S1943" s="50"/>
      <c r="T1943" s="50"/>
      <c r="U1943" s="50"/>
      <c r="V1943" s="50"/>
      <c r="W1943" s="50"/>
      <c r="X1943" s="50"/>
      <c r="Y1943" s="50"/>
      <c r="Z1943" s="50"/>
      <c r="AA1943" s="50"/>
      <c r="AB1943" s="50"/>
      <c r="AC1943" s="50"/>
      <c r="AD1943" s="50"/>
    </row>
    <row r="1944" spans="1:30" s="49" customFormat="1" ht="19.5" customHeight="1">
      <c r="A1944" s="294"/>
      <c r="B1944" s="319" t="s">
        <v>95</v>
      </c>
      <c r="C1944" s="294"/>
      <c r="D1944" s="294"/>
      <c r="E1944" s="294"/>
      <c r="F1944" s="295"/>
      <c r="G1944" s="295"/>
      <c r="H1944" s="295"/>
      <c r="I1944" s="323"/>
      <c r="J1944" s="294"/>
      <c r="K1944" s="50"/>
      <c r="L1944" s="50"/>
      <c r="M1944" s="50"/>
      <c r="N1944" s="50"/>
      <c r="O1944" s="50"/>
      <c r="P1944" s="50"/>
      <c r="Q1944" s="50"/>
      <c r="R1944" s="50"/>
      <c r="S1944" s="50"/>
      <c r="T1944" s="50"/>
      <c r="U1944" s="50"/>
      <c r="V1944" s="50"/>
      <c r="W1944" s="50"/>
      <c r="X1944" s="50"/>
      <c r="Y1944" s="50"/>
      <c r="Z1944" s="50"/>
      <c r="AA1944" s="50"/>
      <c r="AB1944" s="50"/>
      <c r="AC1944" s="50"/>
      <c r="AD1944" s="50"/>
    </row>
    <row r="1945" spans="1:30" s="49" customFormat="1" ht="19.5" customHeight="1">
      <c r="A1945" s="294"/>
      <c r="B1945" s="293" t="s">
        <v>880</v>
      </c>
      <c r="C1945" s="294">
        <v>1</v>
      </c>
      <c r="D1945" s="294">
        <v>10</v>
      </c>
      <c r="E1945" s="294">
        <v>1</v>
      </c>
      <c r="F1945" s="295">
        <v>14.5</v>
      </c>
      <c r="G1945" s="295"/>
      <c r="H1945" s="295"/>
      <c r="I1945" s="323">
        <f t="shared" ref="I1945:I1952" si="79">PRODUCT(C1945:H1945)</f>
        <v>145</v>
      </c>
      <c r="J1945" s="294"/>
      <c r="K1945" s="50"/>
      <c r="L1945" s="50"/>
      <c r="M1945" s="50"/>
      <c r="N1945" s="50">
        <f>9.5+5</f>
        <v>14.5</v>
      </c>
      <c r="O1945" s="50"/>
      <c r="P1945" s="50"/>
      <c r="Q1945" s="50"/>
      <c r="R1945" s="50"/>
      <c r="S1945" s="50"/>
      <c r="T1945" s="50"/>
      <c r="U1945" s="50"/>
      <c r="V1945" s="50"/>
      <c r="W1945" s="50"/>
      <c r="X1945" s="50"/>
      <c r="Y1945" s="50"/>
      <c r="Z1945" s="50"/>
      <c r="AA1945" s="50"/>
      <c r="AB1945" s="50"/>
      <c r="AC1945" s="50"/>
      <c r="AD1945" s="50"/>
    </row>
    <row r="1946" spans="1:30" s="49" customFormat="1" ht="19.5" customHeight="1">
      <c r="A1946" s="294"/>
      <c r="B1946" s="293" t="s">
        <v>881</v>
      </c>
      <c r="C1946" s="294">
        <v>1</v>
      </c>
      <c r="D1946" s="294">
        <v>10</v>
      </c>
      <c r="E1946" s="294">
        <v>1</v>
      </c>
      <c r="F1946" s="295">
        <v>19</v>
      </c>
      <c r="G1946" s="295"/>
      <c r="H1946" s="295"/>
      <c r="I1946" s="323">
        <f t="shared" si="79"/>
        <v>190</v>
      </c>
      <c r="J1946" s="294"/>
      <c r="K1946" s="50"/>
      <c r="L1946" s="50"/>
      <c r="M1946" s="50"/>
      <c r="N1946" s="51"/>
      <c r="O1946" s="50"/>
      <c r="P1946" s="50"/>
      <c r="Q1946" s="50"/>
      <c r="R1946" s="50"/>
      <c r="S1946" s="50"/>
      <c r="T1946" s="50"/>
      <c r="U1946" s="50"/>
      <c r="V1946" s="50"/>
      <c r="W1946" s="50"/>
      <c r="X1946" s="50"/>
      <c r="Y1946" s="50"/>
      <c r="Z1946" s="50"/>
      <c r="AA1946" s="50"/>
      <c r="AB1946" s="50"/>
      <c r="AC1946" s="50"/>
      <c r="AD1946" s="50"/>
    </row>
    <row r="1947" spans="1:30" s="49" customFormat="1" ht="19.5" customHeight="1">
      <c r="A1947" s="294"/>
      <c r="B1947" s="293" t="s">
        <v>882</v>
      </c>
      <c r="C1947" s="294">
        <v>1</v>
      </c>
      <c r="D1947" s="294">
        <v>10</v>
      </c>
      <c r="E1947" s="294">
        <v>1</v>
      </c>
      <c r="F1947" s="295">
        <v>23.5</v>
      </c>
      <c r="G1947" s="295"/>
      <c r="H1947" s="295"/>
      <c r="I1947" s="323">
        <f t="shared" si="79"/>
        <v>235</v>
      </c>
      <c r="J1947" s="294"/>
      <c r="K1947" s="50"/>
      <c r="L1947" s="50"/>
      <c r="M1947" s="50"/>
      <c r="N1947" s="51">
        <f>18.5+5</f>
        <v>23.5</v>
      </c>
      <c r="O1947" s="50"/>
      <c r="P1947" s="50"/>
      <c r="Q1947" s="50"/>
      <c r="R1947" s="50"/>
      <c r="S1947" s="50"/>
      <c r="T1947" s="50"/>
      <c r="U1947" s="50"/>
      <c r="V1947" s="50"/>
      <c r="W1947" s="50"/>
      <c r="X1947" s="50"/>
      <c r="Y1947" s="50"/>
      <c r="Z1947" s="50"/>
      <c r="AA1947" s="50"/>
      <c r="AB1947" s="50"/>
      <c r="AC1947" s="50"/>
      <c r="AD1947" s="50"/>
    </row>
    <row r="1948" spans="1:30" s="49" customFormat="1" ht="19.5" customHeight="1">
      <c r="A1948" s="294"/>
      <c r="B1948" s="293" t="s">
        <v>883</v>
      </c>
      <c r="C1948" s="294">
        <v>1</v>
      </c>
      <c r="D1948" s="294">
        <v>10</v>
      </c>
      <c r="E1948" s="294">
        <v>1</v>
      </c>
      <c r="F1948" s="295">
        <v>26</v>
      </c>
      <c r="G1948" s="295"/>
      <c r="H1948" s="295"/>
      <c r="I1948" s="323">
        <f t="shared" si="79"/>
        <v>260</v>
      </c>
      <c r="J1948" s="294"/>
      <c r="K1948" s="50"/>
      <c r="L1948" s="50"/>
      <c r="M1948" s="50"/>
      <c r="N1948" s="51"/>
      <c r="O1948" s="50"/>
      <c r="P1948" s="50"/>
      <c r="Q1948" s="50"/>
      <c r="R1948" s="50"/>
      <c r="S1948" s="50"/>
      <c r="T1948" s="50"/>
      <c r="U1948" s="50"/>
      <c r="V1948" s="50"/>
      <c r="W1948" s="50"/>
      <c r="X1948" s="50"/>
      <c r="Y1948" s="50"/>
      <c r="Z1948" s="50"/>
      <c r="AA1948" s="50"/>
      <c r="AB1948" s="50"/>
      <c r="AC1948" s="50"/>
      <c r="AD1948" s="50"/>
    </row>
    <row r="1949" spans="1:30" s="49" customFormat="1" ht="19.5" customHeight="1">
      <c r="A1949" s="294"/>
      <c r="B1949" s="293" t="s">
        <v>884</v>
      </c>
      <c r="C1949" s="294">
        <v>1</v>
      </c>
      <c r="D1949" s="294">
        <v>10</v>
      </c>
      <c r="E1949" s="294">
        <v>1</v>
      </c>
      <c r="F1949" s="295">
        <v>28</v>
      </c>
      <c r="G1949" s="295"/>
      <c r="H1949" s="295"/>
      <c r="I1949" s="323">
        <f t="shared" si="79"/>
        <v>280</v>
      </c>
      <c r="J1949" s="294"/>
      <c r="K1949" s="50"/>
      <c r="L1949" s="50"/>
      <c r="M1949" s="50"/>
      <c r="N1949" s="51"/>
      <c r="O1949" s="50"/>
      <c r="P1949" s="50"/>
      <c r="Q1949" s="50"/>
      <c r="R1949" s="50"/>
      <c r="S1949" s="50"/>
      <c r="T1949" s="50"/>
      <c r="U1949" s="50"/>
      <c r="V1949" s="50"/>
      <c r="W1949" s="50"/>
      <c r="X1949" s="50"/>
      <c r="Y1949" s="50"/>
      <c r="Z1949" s="50"/>
      <c r="AA1949" s="50"/>
      <c r="AB1949" s="50"/>
      <c r="AC1949" s="50"/>
      <c r="AD1949" s="50"/>
    </row>
    <row r="1950" spans="1:30" s="49" customFormat="1" ht="19.5" customHeight="1">
      <c r="A1950" s="294"/>
      <c r="B1950" s="293" t="s">
        <v>271</v>
      </c>
      <c r="C1950" s="294">
        <v>5</v>
      </c>
      <c r="D1950" s="294">
        <v>20</v>
      </c>
      <c r="E1950" s="294">
        <v>1</v>
      </c>
      <c r="F1950" s="295">
        <v>1.5</v>
      </c>
      <c r="G1950" s="295"/>
      <c r="H1950" s="295"/>
      <c r="I1950" s="323">
        <f t="shared" si="79"/>
        <v>150</v>
      </c>
      <c r="J1950" s="294"/>
      <c r="K1950" s="50"/>
      <c r="L1950" s="50"/>
      <c r="M1950" s="50"/>
      <c r="N1950" s="50"/>
      <c r="O1950" s="50"/>
      <c r="P1950" s="50"/>
      <c r="Q1950" s="50"/>
      <c r="R1950" s="50"/>
      <c r="S1950" s="50"/>
      <c r="T1950" s="50"/>
      <c r="U1950" s="50"/>
      <c r="V1950" s="50"/>
      <c r="W1950" s="50"/>
      <c r="X1950" s="50"/>
      <c r="Y1950" s="50"/>
      <c r="Z1950" s="50"/>
      <c r="AA1950" s="50"/>
      <c r="AB1950" s="50"/>
      <c r="AC1950" s="50"/>
      <c r="AD1950" s="50"/>
    </row>
    <row r="1951" spans="1:30" s="49" customFormat="1" ht="19.5" customHeight="1">
      <c r="A1951" s="294"/>
      <c r="B1951" s="293" t="s">
        <v>270</v>
      </c>
      <c r="C1951" s="294">
        <v>1</v>
      </c>
      <c r="D1951" s="294">
        <v>1</v>
      </c>
      <c r="E1951" s="294">
        <v>2</v>
      </c>
      <c r="F1951" s="295">
        <v>1.05</v>
      </c>
      <c r="G1951" s="295"/>
      <c r="H1951" s="295"/>
      <c r="I1951" s="323">
        <f t="shared" si="79"/>
        <v>2.1</v>
      </c>
      <c r="J1951" s="294"/>
      <c r="K1951" s="50"/>
      <c r="L1951" s="50"/>
      <c r="M1951" s="50"/>
      <c r="N1951" s="50">
        <f>112/4</f>
        <v>28</v>
      </c>
      <c r="O1951" s="50"/>
      <c r="P1951" s="50"/>
      <c r="Q1951" s="50"/>
      <c r="R1951" s="50"/>
      <c r="S1951" s="50"/>
      <c r="T1951" s="50"/>
      <c r="U1951" s="50"/>
      <c r="V1951" s="50"/>
      <c r="W1951" s="50"/>
      <c r="X1951" s="50"/>
      <c r="Y1951" s="50"/>
      <c r="Z1951" s="50"/>
      <c r="AA1951" s="50"/>
      <c r="AB1951" s="50"/>
      <c r="AC1951" s="50"/>
      <c r="AD1951" s="50"/>
    </row>
    <row r="1952" spans="1:30" s="49" customFormat="1" ht="19.5" customHeight="1">
      <c r="A1952" s="294"/>
      <c r="B1952" s="293" t="s">
        <v>269</v>
      </c>
      <c r="C1952" s="294">
        <v>1</v>
      </c>
      <c r="D1952" s="294">
        <v>5</v>
      </c>
      <c r="E1952" s="294">
        <v>3</v>
      </c>
      <c r="F1952" s="295">
        <v>8.5</v>
      </c>
      <c r="G1952" s="295"/>
      <c r="H1952" s="292"/>
      <c r="I1952" s="323">
        <f t="shared" si="79"/>
        <v>127.5</v>
      </c>
      <c r="J1952" s="289"/>
      <c r="K1952" s="52"/>
      <c r="L1952" s="52"/>
      <c r="M1952" s="52"/>
      <c r="N1952" s="50"/>
      <c r="O1952" s="50"/>
      <c r="P1952" s="50"/>
      <c r="Q1952" s="50"/>
      <c r="R1952" s="50"/>
      <c r="S1952" s="50"/>
      <c r="T1952" s="50"/>
      <c r="U1952" s="50"/>
      <c r="V1952" s="50"/>
      <c r="W1952" s="50"/>
      <c r="X1952" s="50"/>
      <c r="Y1952" s="50"/>
      <c r="Z1952" s="50"/>
      <c r="AA1952" s="50"/>
      <c r="AB1952" s="50"/>
      <c r="AC1952" s="50"/>
      <c r="AD1952" s="50"/>
    </row>
    <row r="1953" spans="1:30" s="5" customFormat="1" ht="23.25" customHeight="1">
      <c r="A1953" s="289"/>
      <c r="B1953" s="456"/>
      <c r="C1953" s="346"/>
      <c r="D1953" s="280"/>
      <c r="E1953" s="346"/>
      <c r="F1953" s="337"/>
      <c r="G1953" s="593"/>
      <c r="H1953" s="594"/>
      <c r="I1953" s="339">
        <f>SUM(I1938:I1952)</f>
        <v>2559.6</v>
      </c>
      <c r="J1953" s="284"/>
      <c r="K1953" s="43"/>
      <c r="L1953" s="43"/>
      <c r="M1953" s="43"/>
      <c r="N1953" s="7"/>
      <c r="O1953" s="7"/>
      <c r="P1953" s="7"/>
      <c r="Q1953" s="7"/>
      <c r="R1953" s="7"/>
      <c r="S1953" s="7"/>
      <c r="T1953" s="7"/>
      <c r="U1953" s="7"/>
      <c r="V1953" s="7"/>
      <c r="W1953" s="7"/>
      <c r="X1953" s="7"/>
      <c r="Y1953" s="7"/>
      <c r="Z1953" s="7"/>
      <c r="AA1953" s="7"/>
      <c r="AB1953" s="7"/>
      <c r="AC1953" s="7"/>
      <c r="AD1953" s="7"/>
    </row>
    <row r="1954" spans="1:30" s="5" customFormat="1" ht="23.25" customHeight="1">
      <c r="A1954" s="289"/>
      <c r="B1954" s="456"/>
      <c r="C1954" s="346"/>
      <c r="D1954" s="280"/>
      <c r="E1954" s="346"/>
      <c r="F1954" s="337"/>
      <c r="G1954" s="595" t="s">
        <v>54</v>
      </c>
      <c r="H1954" s="596"/>
      <c r="I1954" s="416">
        <f>ROUNDUP(I1953,0)</f>
        <v>2560</v>
      </c>
      <c r="J1954" s="343" t="s">
        <v>12</v>
      </c>
      <c r="K1954" s="44"/>
      <c r="L1954" s="44"/>
      <c r="M1954" s="44"/>
      <c r="N1954" s="7"/>
      <c r="O1954" s="7"/>
      <c r="P1954" s="7"/>
      <c r="Q1954" s="7"/>
      <c r="R1954" s="7"/>
      <c r="S1954" s="7"/>
      <c r="T1954" s="7"/>
      <c r="U1954" s="7"/>
      <c r="V1954" s="7"/>
      <c r="W1954" s="7"/>
      <c r="X1954" s="7"/>
      <c r="Y1954" s="7"/>
      <c r="Z1954" s="7"/>
      <c r="AA1954" s="7"/>
      <c r="AB1954" s="7"/>
      <c r="AC1954" s="7"/>
      <c r="AD1954" s="7"/>
    </row>
    <row r="1955" spans="1:30" s="5" customFormat="1" ht="23.25" customHeight="1">
      <c r="A1955" s="289"/>
      <c r="B1955" s="456" t="s">
        <v>268</v>
      </c>
      <c r="C1955" s="346"/>
      <c r="D1955" s="280"/>
      <c r="E1955" s="346"/>
      <c r="F1955" s="337"/>
      <c r="G1955" s="337"/>
      <c r="H1955" s="337"/>
      <c r="I1955" s="347"/>
      <c r="J1955" s="284"/>
      <c r="K1955" s="43"/>
      <c r="L1955" s="43"/>
      <c r="M1955" s="43"/>
      <c r="N1955" s="7"/>
      <c r="O1955" s="7"/>
      <c r="P1955" s="7"/>
      <c r="Q1955" s="7"/>
      <c r="R1955" s="7"/>
      <c r="S1955" s="7"/>
      <c r="T1955" s="7"/>
      <c r="U1955" s="7"/>
      <c r="V1955" s="7"/>
      <c r="W1955" s="7"/>
      <c r="X1955" s="7"/>
      <c r="Y1955" s="7"/>
      <c r="Z1955" s="7"/>
      <c r="AA1955" s="7"/>
      <c r="AB1955" s="7"/>
      <c r="AC1955" s="7"/>
      <c r="AD1955" s="7"/>
    </row>
    <row r="1956" spans="1:30" s="49" customFormat="1" ht="24" customHeight="1">
      <c r="A1956" s="294"/>
      <c r="B1956" s="319" t="s">
        <v>90</v>
      </c>
      <c r="C1956" s="294"/>
      <c r="D1956" s="294"/>
      <c r="E1956" s="294"/>
      <c r="F1956" s="295"/>
      <c r="G1956" s="295"/>
      <c r="H1956" s="295"/>
      <c r="I1956" s="323"/>
      <c r="J1956" s="294"/>
      <c r="K1956" s="50"/>
      <c r="L1956" s="50"/>
      <c r="M1956" s="50"/>
      <c r="N1956" s="50"/>
      <c r="O1956" s="50"/>
      <c r="P1956" s="50"/>
      <c r="Q1956" s="50"/>
      <c r="R1956" s="50"/>
      <c r="S1956" s="50"/>
      <c r="T1956" s="50"/>
      <c r="U1956" s="50"/>
      <c r="V1956" s="50"/>
      <c r="W1956" s="50"/>
      <c r="X1956" s="50"/>
      <c r="Y1956" s="50"/>
      <c r="Z1956" s="50"/>
      <c r="AA1956" s="50"/>
      <c r="AB1956" s="50"/>
      <c r="AC1956" s="50"/>
      <c r="AD1956" s="50"/>
    </row>
    <row r="1957" spans="1:30" s="49" customFormat="1" ht="24" customHeight="1">
      <c r="A1957" s="294"/>
      <c r="B1957" s="293" t="s">
        <v>886</v>
      </c>
      <c r="C1957" s="294">
        <v>1</v>
      </c>
      <c r="D1957" s="294">
        <v>10</v>
      </c>
      <c r="E1957" s="294">
        <v>10</v>
      </c>
      <c r="F1957" s="295">
        <v>1</v>
      </c>
      <c r="G1957" s="295"/>
      <c r="H1957" s="295"/>
      <c r="I1957" s="323">
        <f>PRODUCT(C1957:H1957)</f>
        <v>100</v>
      </c>
      <c r="J1957" s="294"/>
      <c r="K1957" s="50"/>
      <c r="L1957" s="50"/>
      <c r="M1957" s="50"/>
      <c r="N1957" s="50"/>
      <c r="O1957" s="50"/>
      <c r="P1957" s="50"/>
      <c r="Q1957" s="50"/>
      <c r="R1957" s="50"/>
      <c r="S1957" s="50"/>
      <c r="T1957" s="50"/>
      <c r="U1957" s="50"/>
      <c r="V1957" s="50"/>
      <c r="W1957" s="50"/>
      <c r="X1957" s="50"/>
      <c r="Y1957" s="50"/>
      <c r="Z1957" s="50"/>
      <c r="AA1957" s="50"/>
      <c r="AB1957" s="50"/>
      <c r="AC1957" s="50"/>
      <c r="AD1957" s="50"/>
    </row>
    <row r="1958" spans="1:30" s="49" customFormat="1" ht="24" customHeight="1">
      <c r="A1958" s="294"/>
      <c r="B1958" s="293" t="s">
        <v>267</v>
      </c>
      <c r="C1958" s="294">
        <v>1</v>
      </c>
      <c r="D1958" s="294">
        <v>1</v>
      </c>
      <c r="E1958" s="294">
        <v>2</v>
      </c>
      <c r="F1958" s="295">
        <v>28.4</v>
      </c>
      <c r="G1958" s="295"/>
      <c r="H1958" s="295"/>
      <c r="I1958" s="323">
        <f>PRODUCT(C1958:H1958)</f>
        <v>56.8</v>
      </c>
      <c r="J1958" s="294"/>
      <c r="K1958" s="50"/>
      <c r="L1958" s="50"/>
      <c r="M1958" s="50"/>
      <c r="N1958" s="50">
        <f>2.85*8</f>
        <v>22.8</v>
      </c>
      <c r="O1958" s="50">
        <f>N1958+1+4+0.6</f>
        <v>28.4</v>
      </c>
      <c r="P1958" s="50"/>
      <c r="Q1958" s="50"/>
      <c r="R1958" s="50"/>
      <c r="S1958" s="50"/>
      <c r="T1958" s="50"/>
      <c r="U1958" s="50"/>
      <c r="V1958" s="50"/>
      <c r="W1958" s="50"/>
      <c r="X1958" s="50"/>
      <c r="Y1958" s="50"/>
      <c r="Z1958" s="50"/>
      <c r="AA1958" s="50"/>
      <c r="AB1958" s="50"/>
      <c r="AC1958" s="50"/>
      <c r="AD1958" s="50"/>
    </row>
    <row r="1959" spans="1:30" s="49" customFormat="1" ht="24" customHeight="1">
      <c r="A1959" s="294"/>
      <c r="B1959" s="319" t="s">
        <v>266</v>
      </c>
      <c r="C1959" s="294"/>
      <c r="D1959" s="294"/>
      <c r="E1959" s="294"/>
      <c r="F1959" s="295"/>
      <c r="G1959" s="295"/>
      <c r="H1959" s="295"/>
      <c r="I1959" s="323"/>
      <c r="J1959" s="294"/>
      <c r="K1959" s="50"/>
      <c r="L1959" s="50"/>
      <c r="M1959" s="50"/>
      <c r="N1959" s="50"/>
      <c r="O1959" s="50"/>
      <c r="P1959" s="50"/>
      <c r="Q1959" s="50"/>
      <c r="R1959" s="50"/>
      <c r="S1959" s="50"/>
      <c r="T1959" s="50"/>
      <c r="U1959" s="50"/>
      <c r="V1959" s="50"/>
      <c r="W1959" s="50"/>
      <c r="X1959" s="50"/>
      <c r="Y1959" s="50"/>
      <c r="Z1959" s="50"/>
      <c r="AA1959" s="50"/>
      <c r="AB1959" s="50"/>
      <c r="AC1959" s="50"/>
      <c r="AD1959" s="50"/>
    </row>
    <row r="1960" spans="1:30" s="49" customFormat="1" ht="24" customHeight="1">
      <c r="A1960" s="294"/>
      <c r="B1960" s="293" t="s">
        <v>265</v>
      </c>
      <c r="C1960" s="294">
        <v>2</v>
      </c>
      <c r="D1960" s="294">
        <v>1</v>
      </c>
      <c r="E1960" s="294">
        <v>10</v>
      </c>
      <c r="F1960" s="295">
        <v>19.95</v>
      </c>
      <c r="G1960" s="295"/>
      <c r="H1960" s="295"/>
      <c r="I1960" s="323">
        <f t="shared" ref="I1960:I1966" si="80">PRODUCT(C1960:H1960)</f>
        <v>399</v>
      </c>
      <c r="J1960" s="294"/>
      <c r="K1960" s="50"/>
      <c r="L1960" s="50"/>
      <c r="M1960" s="50"/>
      <c r="N1960" s="50">
        <f>2.85*7</f>
        <v>19.95</v>
      </c>
      <c r="O1960" s="50"/>
      <c r="P1960" s="50"/>
      <c r="Q1960" s="50"/>
      <c r="R1960" s="50"/>
      <c r="S1960" s="50"/>
      <c r="T1960" s="50"/>
      <c r="U1960" s="50"/>
      <c r="V1960" s="50"/>
      <c r="W1960" s="50"/>
      <c r="X1960" s="50"/>
      <c r="Y1960" s="50"/>
      <c r="Z1960" s="50"/>
      <c r="AA1960" s="50"/>
      <c r="AB1960" s="50"/>
      <c r="AC1960" s="50"/>
      <c r="AD1960" s="50"/>
    </row>
    <row r="1961" spans="1:30" s="49" customFormat="1" ht="24" customHeight="1">
      <c r="A1961" s="294"/>
      <c r="B1961" s="293" t="s">
        <v>264</v>
      </c>
      <c r="C1961" s="294">
        <v>2</v>
      </c>
      <c r="D1961" s="294">
        <v>1</v>
      </c>
      <c r="E1961" s="294">
        <v>10</v>
      </c>
      <c r="F1961" s="295">
        <v>17.100000000000001</v>
      </c>
      <c r="G1961" s="295"/>
      <c r="H1961" s="295"/>
      <c r="I1961" s="323">
        <f t="shared" si="80"/>
        <v>342</v>
      </c>
      <c r="J1961" s="294"/>
      <c r="K1961" s="50"/>
      <c r="L1961" s="50"/>
      <c r="M1961" s="50"/>
      <c r="N1961" s="51">
        <f t="shared" ref="N1961:N1966" si="81">F1960-2.85</f>
        <v>17.100000000000001</v>
      </c>
      <c r="O1961" s="50"/>
      <c r="P1961" s="50"/>
      <c r="Q1961" s="50"/>
      <c r="R1961" s="50"/>
      <c r="S1961" s="50"/>
      <c r="T1961" s="50"/>
      <c r="U1961" s="50"/>
      <c r="V1961" s="50"/>
      <c r="W1961" s="50"/>
      <c r="X1961" s="50"/>
      <c r="Y1961" s="50"/>
      <c r="Z1961" s="50"/>
      <c r="AA1961" s="50"/>
      <c r="AB1961" s="50"/>
      <c r="AC1961" s="50"/>
      <c r="AD1961" s="50"/>
    </row>
    <row r="1962" spans="1:30" s="49" customFormat="1" ht="24" customHeight="1">
      <c r="A1962" s="294"/>
      <c r="B1962" s="293" t="s">
        <v>263</v>
      </c>
      <c r="C1962" s="294">
        <v>2</v>
      </c>
      <c r="D1962" s="294">
        <v>1</v>
      </c>
      <c r="E1962" s="294">
        <v>10</v>
      </c>
      <c r="F1962" s="295">
        <v>14.25</v>
      </c>
      <c r="G1962" s="295"/>
      <c r="H1962" s="295"/>
      <c r="I1962" s="323">
        <f t="shared" si="80"/>
        <v>285</v>
      </c>
      <c r="J1962" s="294"/>
      <c r="K1962" s="50"/>
      <c r="L1962" s="50"/>
      <c r="M1962" s="50"/>
      <c r="N1962" s="51">
        <f t="shared" si="81"/>
        <v>14.25</v>
      </c>
      <c r="O1962" s="50"/>
      <c r="P1962" s="50"/>
      <c r="Q1962" s="50"/>
      <c r="R1962" s="50"/>
      <c r="S1962" s="50"/>
      <c r="T1962" s="50"/>
      <c r="U1962" s="50"/>
      <c r="V1962" s="50"/>
      <c r="W1962" s="50"/>
      <c r="X1962" s="50"/>
      <c r="Y1962" s="50"/>
      <c r="Z1962" s="50"/>
      <c r="AA1962" s="50"/>
      <c r="AB1962" s="50"/>
      <c r="AC1962" s="50"/>
      <c r="AD1962" s="50"/>
    </row>
    <row r="1963" spans="1:30" s="49" customFormat="1" ht="24" customHeight="1">
      <c r="A1963" s="294"/>
      <c r="B1963" s="293" t="s">
        <v>262</v>
      </c>
      <c r="C1963" s="294">
        <v>2</v>
      </c>
      <c r="D1963" s="294">
        <v>1</v>
      </c>
      <c r="E1963" s="294">
        <v>10</v>
      </c>
      <c r="F1963" s="295">
        <v>11.4</v>
      </c>
      <c r="G1963" s="295"/>
      <c r="H1963" s="295"/>
      <c r="I1963" s="323">
        <f t="shared" si="80"/>
        <v>228</v>
      </c>
      <c r="J1963" s="294"/>
      <c r="K1963" s="50"/>
      <c r="L1963" s="50"/>
      <c r="M1963" s="50"/>
      <c r="N1963" s="51">
        <f t="shared" si="81"/>
        <v>11.4</v>
      </c>
      <c r="O1963" s="50"/>
      <c r="P1963" s="50"/>
      <c r="Q1963" s="50"/>
      <c r="R1963" s="50"/>
      <c r="S1963" s="50"/>
      <c r="T1963" s="50"/>
      <c r="U1963" s="50"/>
      <c r="V1963" s="50"/>
      <c r="W1963" s="50"/>
      <c r="X1963" s="50"/>
      <c r="Y1963" s="50"/>
      <c r="Z1963" s="50"/>
      <c r="AA1963" s="50"/>
      <c r="AB1963" s="50"/>
      <c r="AC1963" s="50"/>
      <c r="AD1963" s="50"/>
    </row>
    <row r="1964" spans="1:30" s="49" customFormat="1" ht="24" customHeight="1">
      <c r="A1964" s="294"/>
      <c r="B1964" s="293" t="s">
        <v>261</v>
      </c>
      <c r="C1964" s="294">
        <v>2</v>
      </c>
      <c r="D1964" s="294">
        <v>1</v>
      </c>
      <c r="E1964" s="294">
        <v>10</v>
      </c>
      <c r="F1964" s="295">
        <v>8.5500000000000007</v>
      </c>
      <c r="G1964" s="295"/>
      <c r="H1964" s="295"/>
      <c r="I1964" s="323">
        <f t="shared" si="80"/>
        <v>171</v>
      </c>
      <c r="J1964" s="294"/>
      <c r="K1964" s="50"/>
      <c r="L1964" s="50"/>
      <c r="M1964" s="50"/>
      <c r="N1964" s="51">
        <f t="shared" si="81"/>
        <v>8.5500000000000007</v>
      </c>
      <c r="O1964" s="50"/>
      <c r="P1964" s="50"/>
      <c r="Q1964" s="50"/>
      <c r="R1964" s="50"/>
      <c r="S1964" s="50"/>
      <c r="T1964" s="50"/>
      <c r="U1964" s="50"/>
      <c r="V1964" s="50"/>
      <c r="W1964" s="50"/>
      <c r="X1964" s="50"/>
      <c r="Y1964" s="50"/>
      <c r="Z1964" s="50"/>
      <c r="AA1964" s="50"/>
      <c r="AB1964" s="50"/>
      <c r="AC1964" s="50"/>
      <c r="AD1964" s="50"/>
    </row>
    <row r="1965" spans="1:30" s="49" customFormat="1" ht="24" customHeight="1">
      <c r="A1965" s="294"/>
      <c r="B1965" s="293" t="s">
        <v>260</v>
      </c>
      <c r="C1965" s="294">
        <v>2</v>
      </c>
      <c r="D1965" s="294">
        <v>1</v>
      </c>
      <c r="E1965" s="294">
        <v>10</v>
      </c>
      <c r="F1965" s="295">
        <v>5.7</v>
      </c>
      <c r="G1965" s="295"/>
      <c r="H1965" s="295"/>
      <c r="I1965" s="323">
        <f t="shared" si="80"/>
        <v>114</v>
      </c>
      <c r="J1965" s="294"/>
      <c r="K1965" s="50"/>
      <c r="L1965" s="50"/>
      <c r="M1965" s="50"/>
      <c r="N1965" s="51">
        <f t="shared" si="81"/>
        <v>5.7</v>
      </c>
      <c r="O1965" s="50"/>
      <c r="P1965" s="50"/>
      <c r="Q1965" s="50"/>
      <c r="R1965" s="50"/>
      <c r="S1965" s="50"/>
      <c r="T1965" s="50"/>
      <c r="U1965" s="50"/>
      <c r="V1965" s="50"/>
      <c r="W1965" s="50"/>
      <c r="X1965" s="50"/>
      <c r="Y1965" s="50"/>
      <c r="Z1965" s="50"/>
      <c r="AA1965" s="50"/>
      <c r="AB1965" s="50"/>
      <c r="AC1965" s="50"/>
      <c r="AD1965" s="50"/>
    </row>
    <row r="1966" spans="1:30" s="49" customFormat="1" ht="24" customHeight="1">
      <c r="A1966" s="294"/>
      <c r="B1966" s="293" t="s">
        <v>259</v>
      </c>
      <c r="C1966" s="294">
        <v>2</v>
      </c>
      <c r="D1966" s="294">
        <v>1</v>
      </c>
      <c r="E1966" s="294">
        <v>10</v>
      </c>
      <c r="F1966" s="295">
        <v>2.85</v>
      </c>
      <c r="G1966" s="295"/>
      <c r="H1966" s="295"/>
      <c r="I1966" s="323">
        <f t="shared" si="80"/>
        <v>57</v>
      </c>
      <c r="J1966" s="294"/>
      <c r="K1966" s="50"/>
      <c r="L1966" s="50"/>
      <c r="M1966" s="50"/>
      <c r="N1966" s="51">
        <f t="shared" si="81"/>
        <v>2.85</v>
      </c>
      <c r="O1966" s="50"/>
      <c r="P1966" s="50"/>
      <c r="Q1966" s="50"/>
      <c r="R1966" s="50"/>
      <c r="S1966" s="50"/>
      <c r="T1966" s="50"/>
      <c r="U1966" s="50"/>
      <c r="V1966" s="50"/>
      <c r="W1966" s="50"/>
      <c r="X1966" s="50"/>
      <c r="Y1966" s="50"/>
      <c r="Z1966" s="50"/>
      <c r="AA1966" s="50"/>
      <c r="AB1966" s="50"/>
      <c r="AC1966" s="50"/>
      <c r="AD1966" s="50"/>
    </row>
    <row r="1967" spans="1:30" s="49" customFormat="1" ht="24" customHeight="1">
      <c r="A1967" s="294"/>
      <c r="B1967" s="319" t="s">
        <v>258</v>
      </c>
      <c r="C1967" s="294"/>
      <c r="D1967" s="294"/>
      <c r="E1967" s="294"/>
      <c r="F1967" s="295"/>
      <c r="G1967" s="295"/>
      <c r="H1967" s="295"/>
      <c r="I1967" s="323"/>
      <c r="J1967" s="294"/>
      <c r="K1967" s="50"/>
      <c r="L1967" s="50"/>
      <c r="M1967" s="50"/>
      <c r="N1967" s="50"/>
      <c r="O1967" s="50"/>
      <c r="P1967" s="50"/>
      <c r="Q1967" s="50"/>
      <c r="R1967" s="50"/>
      <c r="S1967" s="50"/>
      <c r="T1967" s="50"/>
      <c r="U1967" s="50"/>
      <c r="V1967" s="50"/>
      <c r="W1967" s="50"/>
      <c r="X1967" s="50"/>
      <c r="Y1967" s="50"/>
      <c r="Z1967" s="50"/>
      <c r="AA1967" s="50"/>
      <c r="AB1967" s="50"/>
      <c r="AC1967" s="50"/>
      <c r="AD1967" s="50"/>
    </row>
    <row r="1968" spans="1:30" s="49" customFormat="1" ht="24" customHeight="1">
      <c r="A1968" s="294"/>
      <c r="B1968" s="293" t="s">
        <v>239</v>
      </c>
      <c r="C1968" s="294">
        <v>1</v>
      </c>
      <c r="D1968" s="294">
        <v>1</v>
      </c>
      <c r="E1968" s="294">
        <v>2</v>
      </c>
      <c r="F1968" s="295">
        <v>2</v>
      </c>
      <c r="G1968" s="295"/>
      <c r="H1968" s="295"/>
      <c r="I1968" s="323">
        <f>PRODUCT(C1968:H1968)</f>
        <v>4</v>
      </c>
      <c r="J1968" s="294"/>
      <c r="K1968" s="50"/>
      <c r="L1968" s="50"/>
      <c r="M1968" s="50"/>
      <c r="N1968" s="50"/>
      <c r="O1968" s="50"/>
      <c r="P1968" s="50"/>
      <c r="Q1968" s="50"/>
      <c r="R1968" s="50"/>
      <c r="S1968" s="50"/>
      <c r="T1968" s="50"/>
      <c r="U1968" s="50"/>
      <c r="V1968" s="50"/>
      <c r="W1968" s="50"/>
      <c r="X1968" s="50"/>
      <c r="Y1968" s="50"/>
      <c r="Z1968" s="50"/>
      <c r="AA1968" s="50"/>
      <c r="AB1968" s="50"/>
      <c r="AC1968" s="50"/>
      <c r="AD1968" s="50"/>
    </row>
    <row r="1969" spans="1:30" s="33" customFormat="1" ht="24" customHeight="1">
      <c r="A1969" s="289"/>
      <c r="B1969" s="342"/>
      <c r="C1969" s="346"/>
      <c r="D1969" s="280"/>
      <c r="E1969" s="346"/>
      <c r="F1969" s="337"/>
      <c r="G1969" s="337"/>
      <c r="H1969" s="337"/>
      <c r="I1969" s="339">
        <f>SUM(I1957:I1968)</f>
        <v>1756.8</v>
      </c>
      <c r="J1969" s="343" t="s">
        <v>47</v>
      </c>
      <c r="K1969" s="44"/>
      <c r="L1969" s="44"/>
      <c r="M1969" s="44"/>
      <c r="N1969" s="34"/>
      <c r="O1969" s="34"/>
      <c r="P1969" s="34"/>
      <c r="Q1969" s="34"/>
      <c r="R1969" s="34"/>
      <c r="S1969" s="34"/>
      <c r="T1969" s="34"/>
      <c r="U1969" s="34"/>
      <c r="V1969" s="34"/>
      <c r="W1969" s="34"/>
      <c r="X1969" s="34"/>
      <c r="Y1969" s="34"/>
      <c r="Z1969" s="34"/>
      <c r="AA1969" s="34"/>
      <c r="AB1969" s="34"/>
      <c r="AC1969" s="34"/>
      <c r="AD1969" s="34"/>
    </row>
    <row r="1970" spans="1:30" s="5" customFormat="1" ht="23.25" customHeight="1">
      <c r="A1970" s="289"/>
      <c r="B1970" s="319" t="s">
        <v>257</v>
      </c>
      <c r="C1970" s="346"/>
      <c r="D1970" s="280"/>
      <c r="E1970" s="346"/>
      <c r="F1970" s="337"/>
      <c r="G1970" s="337"/>
      <c r="H1970" s="337"/>
      <c r="I1970" s="347"/>
      <c r="J1970" s="284"/>
      <c r="K1970" s="43"/>
      <c r="L1970" s="43"/>
      <c r="M1970" s="43"/>
      <c r="N1970" s="7"/>
      <c r="O1970" s="7"/>
      <c r="P1970" s="7"/>
      <c r="Q1970" s="7"/>
      <c r="R1970" s="7"/>
      <c r="S1970" s="7"/>
      <c r="T1970" s="7"/>
      <c r="U1970" s="7"/>
      <c r="V1970" s="7"/>
      <c r="W1970" s="7"/>
      <c r="X1970" s="7"/>
      <c r="Y1970" s="7"/>
      <c r="Z1970" s="7"/>
      <c r="AA1970" s="7"/>
      <c r="AB1970" s="7"/>
      <c r="AC1970" s="7"/>
      <c r="AD1970" s="7"/>
    </row>
    <row r="1971" spans="1:30" s="49" customFormat="1" ht="24" customHeight="1">
      <c r="A1971" s="294"/>
      <c r="B1971" s="319" t="s">
        <v>90</v>
      </c>
      <c r="C1971" s="294"/>
      <c r="D1971" s="294"/>
      <c r="E1971" s="294"/>
      <c r="F1971" s="295"/>
      <c r="G1971" s="295"/>
      <c r="H1971" s="295"/>
      <c r="I1971" s="323"/>
      <c r="J1971" s="294"/>
      <c r="K1971" s="50"/>
      <c r="L1971" s="50"/>
      <c r="M1971" s="50"/>
      <c r="N1971" s="50"/>
      <c r="O1971" s="50"/>
      <c r="P1971" s="50"/>
      <c r="Q1971" s="50"/>
      <c r="R1971" s="50"/>
      <c r="S1971" s="50"/>
      <c r="T1971" s="50"/>
      <c r="U1971" s="50"/>
      <c r="V1971" s="50"/>
      <c r="W1971" s="50"/>
      <c r="X1971" s="50"/>
      <c r="Y1971" s="50"/>
      <c r="Z1971" s="50"/>
      <c r="AA1971" s="50"/>
      <c r="AB1971" s="50"/>
      <c r="AC1971" s="50"/>
      <c r="AD1971" s="50"/>
    </row>
    <row r="1972" spans="1:30" s="49" customFormat="1" ht="23.25" customHeight="1">
      <c r="A1972" s="294"/>
      <c r="B1972" s="293" t="s">
        <v>256</v>
      </c>
      <c r="C1972" s="294">
        <v>1</v>
      </c>
      <c r="D1972" s="294">
        <v>10</v>
      </c>
      <c r="E1972" s="294">
        <v>1</v>
      </c>
      <c r="F1972" s="295">
        <v>0.9</v>
      </c>
      <c r="G1972" s="295"/>
      <c r="H1972" s="295"/>
      <c r="I1972" s="323">
        <f t="shared" ref="I1972:I1979" si="82">PRODUCT(C1972:H1972)</f>
        <v>9</v>
      </c>
      <c r="J1972" s="294"/>
      <c r="K1972" s="50"/>
      <c r="L1972" s="50"/>
      <c r="M1972" s="50"/>
      <c r="N1972" s="50"/>
      <c r="O1972" s="50"/>
      <c r="P1972" s="50"/>
      <c r="Q1972" s="50"/>
      <c r="R1972" s="50"/>
      <c r="S1972" s="50"/>
      <c r="T1972" s="50"/>
      <c r="U1972" s="50"/>
      <c r="V1972" s="50"/>
      <c r="W1972" s="50"/>
      <c r="X1972" s="50"/>
      <c r="Y1972" s="50"/>
      <c r="Z1972" s="50"/>
      <c r="AA1972" s="50"/>
      <c r="AB1972" s="50"/>
      <c r="AC1972" s="50"/>
      <c r="AD1972" s="50"/>
    </row>
    <row r="1973" spans="1:30" s="49" customFormat="1" ht="23.25" customHeight="1">
      <c r="A1973" s="294"/>
      <c r="B1973" s="293" t="s">
        <v>255</v>
      </c>
      <c r="C1973" s="294">
        <v>1</v>
      </c>
      <c r="D1973" s="294">
        <v>10</v>
      </c>
      <c r="E1973" s="294">
        <v>1</v>
      </c>
      <c r="F1973" s="295">
        <v>0.9</v>
      </c>
      <c r="G1973" s="295"/>
      <c r="H1973" s="295"/>
      <c r="I1973" s="323">
        <f t="shared" si="82"/>
        <v>9</v>
      </c>
      <c r="J1973" s="294"/>
      <c r="K1973" s="50"/>
      <c r="L1973" s="50"/>
      <c r="M1973" s="50"/>
      <c r="N1973" s="50"/>
      <c r="O1973" s="50"/>
      <c r="P1973" s="50"/>
      <c r="Q1973" s="50"/>
      <c r="R1973" s="50"/>
      <c r="S1973" s="50"/>
      <c r="T1973" s="50"/>
      <c r="U1973" s="50"/>
      <c r="V1973" s="50"/>
      <c r="W1973" s="50"/>
      <c r="X1973" s="50"/>
      <c r="Y1973" s="50"/>
      <c r="Z1973" s="50"/>
      <c r="AA1973" s="50"/>
      <c r="AB1973" s="50"/>
      <c r="AC1973" s="50"/>
      <c r="AD1973" s="50"/>
    </row>
    <row r="1974" spans="1:30" s="49" customFormat="1" ht="23.25" customHeight="1">
      <c r="A1974" s="294"/>
      <c r="B1974" s="293" t="s">
        <v>254</v>
      </c>
      <c r="C1974" s="294">
        <v>1</v>
      </c>
      <c r="D1974" s="294">
        <v>10</v>
      </c>
      <c r="E1974" s="294">
        <v>1</v>
      </c>
      <c r="F1974" s="295">
        <v>0.9</v>
      </c>
      <c r="G1974" s="295"/>
      <c r="H1974" s="295"/>
      <c r="I1974" s="323">
        <f t="shared" si="82"/>
        <v>9</v>
      </c>
      <c r="J1974" s="294"/>
      <c r="K1974" s="50"/>
      <c r="L1974" s="50"/>
      <c r="M1974" s="50"/>
      <c r="N1974" s="50"/>
      <c r="O1974" s="50"/>
      <c r="P1974" s="50"/>
      <c r="Q1974" s="50"/>
      <c r="R1974" s="50"/>
      <c r="S1974" s="50"/>
      <c r="T1974" s="50"/>
      <c r="U1974" s="50"/>
      <c r="V1974" s="50"/>
      <c r="W1974" s="50"/>
      <c r="X1974" s="50"/>
      <c r="Y1974" s="50"/>
      <c r="Z1974" s="50"/>
      <c r="AA1974" s="50"/>
      <c r="AB1974" s="50"/>
      <c r="AC1974" s="50"/>
      <c r="AD1974" s="50"/>
    </row>
    <row r="1975" spans="1:30" s="49" customFormat="1" ht="23.25" customHeight="1">
      <c r="A1975" s="294"/>
      <c r="B1975" s="293" t="s">
        <v>253</v>
      </c>
      <c r="C1975" s="294">
        <v>1</v>
      </c>
      <c r="D1975" s="294">
        <v>10</v>
      </c>
      <c r="E1975" s="294">
        <v>1</v>
      </c>
      <c r="F1975" s="295">
        <v>0.9</v>
      </c>
      <c r="G1975" s="295"/>
      <c r="H1975" s="295"/>
      <c r="I1975" s="323">
        <f t="shared" si="82"/>
        <v>9</v>
      </c>
      <c r="J1975" s="294"/>
      <c r="K1975" s="50"/>
      <c r="L1975" s="50"/>
      <c r="M1975" s="50"/>
      <c r="N1975" s="50"/>
      <c r="O1975" s="50"/>
      <c r="P1975" s="50"/>
      <c r="Q1975" s="50"/>
      <c r="R1975" s="50"/>
      <c r="S1975" s="50"/>
      <c r="T1975" s="50"/>
      <c r="U1975" s="50"/>
      <c r="V1975" s="50"/>
      <c r="W1975" s="50"/>
      <c r="X1975" s="50"/>
      <c r="Y1975" s="50"/>
      <c r="Z1975" s="50"/>
      <c r="AA1975" s="50"/>
      <c r="AB1975" s="50"/>
      <c r="AC1975" s="50"/>
      <c r="AD1975" s="50"/>
    </row>
    <row r="1976" spans="1:30" s="49" customFormat="1" ht="23.25" customHeight="1">
      <c r="A1976" s="294"/>
      <c r="B1976" s="293" t="s">
        <v>252</v>
      </c>
      <c r="C1976" s="294">
        <v>1</v>
      </c>
      <c r="D1976" s="294">
        <v>10</v>
      </c>
      <c r="E1976" s="294">
        <v>1</v>
      </c>
      <c r="F1976" s="295">
        <v>0.9</v>
      </c>
      <c r="G1976" s="295"/>
      <c r="H1976" s="295"/>
      <c r="I1976" s="323">
        <f t="shared" si="82"/>
        <v>9</v>
      </c>
      <c r="J1976" s="294"/>
      <c r="K1976" s="50"/>
      <c r="L1976" s="50"/>
      <c r="M1976" s="50"/>
      <c r="N1976" s="50"/>
      <c r="O1976" s="50"/>
      <c r="P1976" s="50"/>
      <c r="Q1976" s="50"/>
      <c r="R1976" s="50"/>
      <c r="S1976" s="50"/>
      <c r="T1976" s="50"/>
      <c r="U1976" s="50"/>
      <c r="V1976" s="50"/>
      <c r="W1976" s="50"/>
      <c r="X1976" s="50"/>
      <c r="Y1976" s="50"/>
      <c r="Z1976" s="50"/>
      <c r="AA1976" s="50"/>
      <c r="AB1976" s="50"/>
      <c r="AC1976" s="50"/>
      <c r="AD1976" s="50"/>
    </row>
    <row r="1977" spans="1:30" s="49" customFormat="1" ht="23.25" customHeight="1">
      <c r="A1977" s="294"/>
      <c r="B1977" s="293" t="s">
        <v>251</v>
      </c>
      <c r="C1977" s="294">
        <v>1</v>
      </c>
      <c r="D1977" s="294">
        <v>10</v>
      </c>
      <c r="E1977" s="294">
        <v>1</v>
      </c>
      <c r="F1977" s="295">
        <v>0.9</v>
      </c>
      <c r="G1977" s="295"/>
      <c r="H1977" s="295"/>
      <c r="I1977" s="323">
        <f t="shared" si="82"/>
        <v>9</v>
      </c>
      <c r="J1977" s="294"/>
      <c r="K1977" s="50"/>
      <c r="L1977" s="50"/>
      <c r="M1977" s="50"/>
      <c r="N1977" s="50"/>
      <c r="O1977" s="50"/>
      <c r="P1977" s="50"/>
      <c r="Q1977" s="50"/>
      <c r="R1977" s="50"/>
      <c r="S1977" s="50"/>
      <c r="T1977" s="50"/>
      <c r="U1977" s="50"/>
      <c r="V1977" s="50"/>
      <c r="W1977" s="50"/>
      <c r="X1977" s="50"/>
      <c r="Y1977" s="50"/>
      <c r="Z1977" s="50"/>
      <c r="AA1977" s="50"/>
      <c r="AB1977" s="50"/>
      <c r="AC1977" s="50"/>
      <c r="AD1977" s="50"/>
    </row>
    <row r="1978" spans="1:30" s="49" customFormat="1" ht="23.25" customHeight="1">
      <c r="A1978" s="294"/>
      <c r="B1978" s="293" t="s">
        <v>250</v>
      </c>
      <c r="C1978" s="294">
        <v>1</v>
      </c>
      <c r="D1978" s="294">
        <v>10</v>
      </c>
      <c r="E1978" s="294">
        <v>1</v>
      </c>
      <c r="F1978" s="295">
        <v>0.9</v>
      </c>
      <c r="G1978" s="295"/>
      <c r="H1978" s="295"/>
      <c r="I1978" s="323">
        <f t="shared" si="82"/>
        <v>9</v>
      </c>
      <c r="J1978" s="294"/>
      <c r="K1978" s="50"/>
      <c r="L1978" s="50"/>
      <c r="M1978" s="50"/>
      <c r="N1978" s="50"/>
      <c r="O1978" s="50"/>
      <c r="P1978" s="50"/>
      <c r="Q1978" s="50"/>
      <c r="R1978" s="50"/>
      <c r="S1978" s="50"/>
      <c r="T1978" s="50"/>
      <c r="U1978" s="50"/>
      <c r="V1978" s="50"/>
      <c r="W1978" s="50"/>
      <c r="X1978" s="50"/>
      <c r="Y1978" s="50"/>
      <c r="Z1978" s="50"/>
      <c r="AA1978" s="50"/>
      <c r="AB1978" s="50"/>
      <c r="AC1978" s="50"/>
      <c r="AD1978" s="50"/>
    </row>
    <row r="1979" spans="1:30" s="49" customFormat="1" ht="26.25" customHeight="1">
      <c r="A1979" s="294"/>
      <c r="B1979" s="293" t="s">
        <v>249</v>
      </c>
      <c r="C1979" s="294">
        <v>1</v>
      </c>
      <c r="D1979" s="294">
        <v>1</v>
      </c>
      <c r="E1979" s="294">
        <v>2</v>
      </c>
      <c r="F1979" s="295">
        <v>3</v>
      </c>
      <c r="G1979" s="295"/>
      <c r="H1979" s="295"/>
      <c r="I1979" s="323">
        <f t="shared" si="82"/>
        <v>6</v>
      </c>
      <c r="J1979" s="294"/>
      <c r="K1979" s="50"/>
      <c r="L1979" s="50"/>
      <c r="M1979" s="50"/>
      <c r="N1979" s="50"/>
      <c r="O1979" s="50"/>
      <c r="P1979" s="50"/>
      <c r="Q1979" s="50"/>
      <c r="R1979" s="50"/>
      <c r="S1979" s="50"/>
      <c r="T1979" s="50"/>
      <c r="U1979" s="50"/>
      <c r="V1979" s="50"/>
      <c r="W1979" s="50"/>
      <c r="X1979" s="50"/>
      <c r="Y1979" s="50"/>
      <c r="Z1979" s="50"/>
      <c r="AA1979" s="50"/>
      <c r="AB1979" s="50"/>
      <c r="AC1979" s="50"/>
      <c r="AD1979" s="50"/>
    </row>
    <row r="1980" spans="1:30" s="49" customFormat="1" ht="24" customHeight="1">
      <c r="A1980" s="294"/>
      <c r="B1980" s="319" t="s">
        <v>95</v>
      </c>
      <c r="C1980" s="294"/>
      <c r="D1980" s="294"/>
      <c r="E1980" s="294"/>
      <c r="F1980" s="295"/>
      <c r="G1980" s="295"/>
      <c r="H1980" s="295"/>
      <c r="I1980" s="323"/>
      <c r="J1980" s="294"/>
      <c r="K1980" s="50"/>
      <c r="L1980" s="50"/>
      <c r="M1980" s="50"/>
      <c r="N1980" s="50"/>
      <c r="O1980" s="50"/>
      <c r="P1980" s="50"/>
      <c r="Q1980" s="50"/>
      <c r="R1980" s="50"/>
      <c r="S1980" s="50"/>
      <c r="T1980" s="50"/>
      <c r="U1980" s="50"/>
      <c r="V1980" s="50"/>
      <c r="W1980" s="50"/>
      <c r="X1980" s="50"/>
      <c r="Y1980" s="50"/>
      <c r="Z1980" s="50"/>
      <c r="AA1980" s="50"/>
      <c r="AB1980" s="50"/>
      <c r="AC1980" s="50"/>
      <c r="AD1980" s="50"/>
    </row>
    <row r="1981" spans="1:30" s="49" customFormat="1" ht="26.25" customHeight="1">
      <c r="A1981" s="294"/>
      <c r="B1981" s="293" t="s">
        <v>248</v>
      </c>
      <c r="C1981" s="294">
        <v>1</v>
      </c>
      <c r="D1981" s="294">
        <v>10</v>
      </c>
      <c r="E1981" s="294">
        <v>1</v>
      </c>
      <c r="F1981" s="295">
        <v>0.9</v>
      </c>
      <c r="G1981" s="295"/>
      <c r="H1981" s="295"/>
      <c r="I1981" s="323">
        <f t="shared" ref="I1981:I1987" si="83">PRODUCT(C1981:H1981)</f>
        <v>9</v>
      </c>
      <c r="J1981" s="294"/>
      <c r="K1981" s="50"/>
      <c r="L1981" s="50"/>
      <c r="M1981" s="50"/>
      <c r="N1981" s="50"/>
      <c r="O1981" s="50"/>
      <c r="P1981" s="50"/>
      <c r="Q1981" s="50"/>
      <c r="R1981" s="50"/>
      <c r="S1981" s="50"/>
      <c r="T1981" s="50"/>
      <c r="U1981" s="50"/>
      <c r="V1981" s="50"/>
      <c r="W1981" s="50"/>
      <c r="X1981" s="50"/>
      <c r="Y1981" s="50"/>
      <c r="Z1981" s="50"/>
      <c r="AA1981" s="50"/>
      <c r="AB1981" s="50"/>
      <c r="AC1981" s="50"/>
      <c r="AD1981" s="50"/>
    </row>
    <row r="1982" spans="1:30" s="49" customFormat="1" ht="26.25" customHeight="1">
      <c r="A1982" s="294"/>
      <c r="B1982" s="293" t="s">
        <v>247</v>
      </c>
      <c r="C1982" s="294">
        <v>1</v>
      </c>
      <c r="D1982" s="294">
        <v>10</v>
      </c>
      <c r="E1982" s="294">
        <v>1</v>
      </c>
      <c r="F1982" s="295">
        <v>0.9</v>
      </c>
      <c r="G1982" s="295"/>
      <c r="H1982" s="295"/>
      <c r="I1982" s="323">
        <f t="shared" si="83"/>
        <v>9</v>
      </c>
      <c r="J1982" s="294"/>
      <c r="K1982" s="50"/>
      <c r="L1982" s="50"/>
      <c r="M1982" s="50"/>
      <c r="N1982" s="50"/>
      <c r="O1982" s="50"/>
      <c r="P1982" s="50"/>
      <c r="Q1982" s="50"/>
      <c r="R1982" s="50"/>
      <c r="S1982" s="50"/>
      <c r="T1982" s="50"/>
      <c r="U1982" s="50"/>
      <c r="V1982" s="50"/>
      <c r="W1982" s="50"/>
      <c r="X1982" s="50"/>
      <c r="Y1982" s="50"/>
      <c r="Z1982" s="50"/>
      <c r="AA1982" s="50"/>
      <c r="AB1982" s="50"/>
      <c r="AC1982" s="50"/>
      <c r="AD1982" s="50"/>
    </row>
    <row r="1983" spans="1:30" s="49" customFormat="1" ht="26.25" customHeight="1">
      <c r="A1983" s="294"/>
      <c r="B1983" s="293" t="s">
        <v>246</v>
      </c>
      <c r="C1983" s="294">
        <v>1</v>
      </c>
      <c r="D1983" s="294">
        <v>10</v>
      </c>
      <c r="E1983" s="294">
        <v>1</v>
      </c>
      <c r="F1983" s="295">
        <v>0.9</v>
      </c>
      <c r="G1983" s="295"/>
      <c r="H1983" s="295"/>
      <c r="I1983" s="323">
        <f t="shared" si="83"/>
        <v>9</v>
      </c>
      <c r="J1983" s="294"/>
      <c r="K1983" s="50"/>
      <c r="L1983" s="50"/>
      <c r="M1983" s="50"/>
      <c r="N1983" s="50"/>
      <c r="O1983" s="50"/>
      <c r="P1983" s="50"/>
      <c r="Q1983" s="50"/>
      <c r="R1983" s="50"/>
      <c r="S1983" s="50"/>
      <c r="T1983" s="50"/>
      <c r="U1983" s="50"/>
      <c r="V1983" s="50"/>
      <c r="W1983" s="50"/>
      <c r="X1983" s="50"/>
      <c r="Y1983" s="50"/>
      <c r="Z1983" s="50"/>
      <c r="AA1983" s="50"/>
      <c r="AB1983" s="50"/>
      <c r="AC1983" s="50"/>
      <c r="AD1983" s="50"/>
    </row>
    <row r="1984" spans="1:30" s="49" customFormat="1" ht="26.25" customHeight="1">
      <c r="A1984" s="294"/>
      <c r="B1984" s="293" t="s">
        <v>245</v>
      </c>
      <c r="C1984" s="294">
        <v>1</v>
      </c>
      <c r="D1984" s="294">
        <v>10</v>
      </c>
      <c r="E1984" s="294">
        <v>1</v>
      </c>
      <c r="F1984" s="295">
        <v>0.9</v>
      </c>
      <c r="G1984" s="295"/>
      <c r="H1984" s="295"/>
      <c r="I1984" s="323">
        <f t="shared" si="83"/>
        <v>9</v>
      </c>
      <c r="J1984" s="294"/>
      <c r="K1984" s="50"/>
      <c r="L1984" s="50"/>
      <c r="M1984" s="50"/>
      <c r="N1984" s="50"/>
      <c r="O1984" s="50"/>
      <c r="P1984" s="50"/>
      <c r="Q1984" s="50"/>
      <c r="R1984" s="50"/>
      <c r="S1984" s="50"/>
      <c r="T1984" s="50"/>
      <c r="U1984" s="50"/>
      <c r="V1984" s="50"/>
      <c r="W1984" s="50"/>
      <c r="X1984" s="50"/>
      <c r="Y1984" s="50"/>
      <c r="Z1984" s="50"/>
      <c r="AA1984" s="50"/>
      <c r="AB1984" s="50"/>
      <c r="AC1984" s="50"/>
      <c r="AD1984" s="50"/>
    </row>
    <row r="1985" spans="1:30" s="49" customFormat="1" ht="26.25" customHeight="1">
      <c r="A1985" s="294"/>
      <c r="B1985" s="293" t="s">
        <v>244</v>
      </c>
      <c r="C1985" s="294">
        <v>1</v>
      </c>
      <c r="D1985" s="294">
        <v>10</v>
      </c>
      <c r="E1985" s="294">
        <v>1</v>
      </c>
      <c r="F1985" s="295">
        <v>0.9</v>
      </c>
      <c r="G1985" s="295"/>
      <c r="H1985" s="295"/>
      <c r="I1985" s="323">
        <f t="shared" si="83"/>
        <v>9</v>
      </c>
      <c r="J1985" s="294"/>
      <c r="K1985" s="50"/>
      <c r="L1985" s="50"/>
      <c r="M1985" s="50"/>
      <c r="N1985" s="50"/>
      <c r="O1985" s="50"/>
      <c r="P1985" s="50"/>
      <c r="Q1985" s="50"/>
      <c r="R1985" s="50"/>
      <c r="S1985" s="50"/>
      <c r="T1985" s="50"/>
      <c r="U1985" s="50"/>
      <c r="V1985" s="50"/>
      <c r="W1985" s="50"/>
      <c r="X1985" s="50"/>
      <c r="Y1985" s="50"/>
      <c r="Z1985" s="50"/>
      <c r="AA1985" s="50"/>
      <c r="AB1985" s="50"/>
      <c r="AC1985" s="50"/>
      <c r="AD1985" s="50"/>
    </row>
    <row r="1986" spans="1:30" s="49" customFormat="1" ht="26.25" customHeight="1">
      <c r="A1986" s="294"/>
      <c r="B1986" s="293" t="s">
        <v>243</v>
      </c>
      <c r="C1986" s="294">
        <v>1</v>
      </c>
      <c r="D1986" s="294">
        <v>10</v>
      </c>
      <c r="E1986" s="294">
        <v>1</v>
      </c>
      <c r="F1986" s="295">
        <v>0.9</v>
      </c>
      <c r="G1986" s="295"/>
      <c r="H1986" s="295"/>
      <c r="I1986" s="323">
        <f t="shared" si="83"/>
        <v>9</v>
      </c>
      <c r="J1986" s="294"/>
      <c r="K1986" s="50"/>
      <c r="L1986" s="50"/>
      <c r="M1986" s="50"/>
      <c r="N1986" s="50"/>
      <c r="O1986" s="50"/>
      <c r="P1986" s="50"/>
      <c r="Q1986" s="50"/>
      <c r="R1986" s="50"/>
      <c r="S1986" s="50"/>
      <c r="T1986" s="50"/>
      <c r="U1986" s="50"/>
      <c r="V1986" s="50"/>
      <c r="W1986" s="50"/>
      <c r="X1986" s="50"/>
      <c r="Y1986" s="50"/>
      <c r="Z1986" s="50"/>
      <c r="AA1986" s="50"/>
      <c r="AB1986" s="50"/>
      <c r="AC1986" s="50"/>
      <c r="AD1986" s="50"/>
    </row>
    <row r="1987" spans="1:30" s="49" customFormat="1" ht="26.25" customHeight="1">
      <c r="A1987" s="294"/>
      <c r="B1987" s="293" t="s">
        <v>242</v>
      </c>
      <c r="C1987" s="294">
        <v>1</v>
      </c>
      <c r="D1987" s="294">
        <v>10</v>
      </c>
      <c r="E1987" s="294">
        <v>1</v>
      </c>
      <c r="F1987" s="295">
        <v>0.9</v>
      </c>
      <c r="G1987" s="295"/>
      <c r="H1987" s="295"/>
      <c r="I1987" s="323">
        <f t="shared" si="83"/>
        <v>9</v>
      </c>
      <c r="J1987" s="294"/>
      <c r="K1987" s="50"/>
      <c r="L1987" s="50"/>
      <c r="M1987" s="50"/>
      <c r="N1987" s="50"/>
      <c r="O1987" s="50"/>
      <c r="P1987" s="50"/>
      <c r="Q1987" s="50"/>
      <c r="R1987" s="50"/>
      <c r="S1987" s="50"/>
      <c r="T1987" s="50"/>
      <c r="U1987" s="50"/>
      <c r="V1987" s="50"/>
      <c r="W1987" s="50"/>
      <c r="X1987" s="50"/>
      <c r="Y1987" s="50"/>
      <c r="Z1987" s="50"/>
      <c r="AA1987" s="50"/>
      <c r="AB1987" s="50"/>
      <c r="AC1987" s="50"/>
      <c r="AD1987" s="50"/>
    </row>
    <row r="1988" spans="1:30" s="49" customFormat="1" ht="21" customHeight="1">
      <c r="A1988" s="294"/>
      <c r="B1988" s="319" t="s">
        <v>241</v>
      </c>
      <c r="C1988" s="294"/>
      <c r="D1988" s="294"/>
      <c r="E1988" s="294"/>
      <c r="F1988" s="295"/>
      <c r="G1988" s="295"/>
      <c r="H1988" s="295"/>
      <c r="I1988" s="323"/>
      <c r="J1988" s="294"/>
      <c r="K1988" s="50"/>
      <c r="L1988" s="50"/>
      <c r="M1988" s="50"/>
      <c r="N1988" s="50"/>
      <c r="O1988" s="50"/>
      <c r="P1988" s="50"/>
      <c r="Q1988" s="50"/>
      <c r="R1988" s="50"/>
      <c r="S1988" s="50"/>
      <c r="T1988" s="50"/>
      <c r="U1988" s="50"/>
      <c r="V1988" s="50"/>
      <c r="W1988" s="50"/>
      <c r="X1988" s="50"/>
      <c r="Y1988" s="50"/>
      <c r="Z1988" s="50"/>
      <c r="AA1988" s="50"/>
      <c r="AB1988" s="50"/>
      <c r="AC1988" s="50"/>
      <c r="AD1988" s="50"/>
    </row>
    <row r="1989" spans="1:30" s="49" customFormat="1" ht="26.25" customHeight="1">
      <c r="A1989" s="294"/>
      <c r="B1989" s="293" t="s">
        <v>240</v>
      </c>
      <c r="C1989" s="294">
        <v>1</v>
      </c>
      <c r="D1989" s="294">
        <v>5</v>
      </c>
      <c r="E1989" s="294">
        <v>20</v>
      </c>
      <c r="F1989" s="295">
        <v>1</v>
      </c>
      <c r="G1989" s="295"/>
      <c r="H1989" s="295"/>
      <c r="I1989" s="323">
        <f>PRODUCT(C1989:H1989)</f>
        <v>100</v>
      </c>
      <c r="J1989" s="294"/>
      <c r="K1989" s="50"/>
      <c r="L1989" s="50"/>
      <c r="M1989" s="50"/>
      <c r="N1989" s="50"/>
      <c r="O1989" s="50"/>
      <c r="P1989" s="50"/>
      <c r="Q1989" s="50"/>
      <c r="R1989" s="50"/>
      <c r="S1989" s="50"/>
      <c r="T1989" s="50"/>
      <c r="U1989" s="50"/>
      <c r="V1989" s="50"/>
      <c r="W1989" s="50"/>
      <c r="X1989" s="50"/>
      <c r="Y1989" s="50"/>
      <c r="Z1989" s="50"/>
      <c r="AA1989" s="50"/>
      <c r="AB1989" s="50"/>
      <c r="AC1989" s="50"/>
      <c r="AD1989" s="50"/>
    </row>
    <row r="1990" spans="1:30" s="49" customFormat="1" ht="26.25" customHeight="1">
      <c r="A1990" s="294"/>
      <c r="B1990" s="293" t="s">
        <v>239</v>
      </c>
      <c r="C1990" s="294">
        <v>1</v>
      </c>
      <c r="D1990" s="294">
        <v>2</v>
      </c>
      <c r="E1990" s="294">
        <v>1</v>
      </c>
      <c r="F1990" s="295">
        <v>1</v>
      </c>
      <c r="G1990" s="295"/>
      <c r="H1990" s="295"/>
      <c r="I1990" s="323">
        <f>PRODUCT(C1990:H1990)</f>
        <v>2</v>
      </c>
      <c r="J1990" s="294"/>
      <c r="K1990" s="50"/>
      <c r="L1990" s="50"/>
      <c r="M1990" s="50"/>
      <c r="N1990" s="50"/>
      <c r="O1990" s="50"/>
      <c r="P1990" s="50"/>
      <c r="Q1990" s="50"/>
      <c r="R1990" s="50"/>
      <c r="S1990" s="50"/>
      <c r="T1990" s="50"/>
      <c r="U1990" s="50"/>
      <c r="V1990" s="50"/>
      <c r="W1990" s="50"/>
      <c r="X1990" s="50"/>
      <c r="Y1990" s="50"/>
      <c r="Z1990" s="50"/>
      <c r="AA1990" s="50"/>
      <c r="AB1990" s="50"/>
      <c r="AC1990" s="50"/>
      <c r="AD1990" s="50"/>
    </row>
    <row r="1991" spans="1:30" s="99" customFormat="1" ht="23.25" customHeight="1">
      <c r="A1991" s="289"/>
      <c r="B1991" s="293"/>
      <c r="C1991" s="294"/>
      <c r="D1991" s="280"/>
      <c r="E1991" s="294"/>
      <c r="F1991" s="338"/>
      <c r="G1991" s="338"/>
      <c r="H1991" s="338"/>
      <c r="I1991" s="339">
        <f>SUM(I1972:I1990)</f>
        <v>234</v>
      </c>
      <c r="J1991" s="343" t="s">
        <v>47</v>
      </c>
      <c r="K1991" s="44"/>
      <c r="L1991" s="44"/>
      <c r="M1991" s="44"/>
      <c r="N1991" s="100"/>
      <c r="O1991" s="100"/>
      <c r="P1991" s="100"/>
      <c r="Q1991" s="100"/>
      <c r="R1991" s="100"/>
      <c r="S1991" s="100"/>
      <c r="T1991" s="100"/>
      <c r="U1991" s="100"/>
      <c r="V1991" s="100"/>
      <c r="W1991" s="100"/>
      <c r="X1991" s="100"/>
      <c r="Y1991" s="100"/>
      <c r="Z1991" s="100"/>
      <c r="AA1991" s="100"/>
      <c r="AB1991" s="100"/>
      <c r="AC1991" s="100"/>
      <c r="AD1991" s="100"/>
    </row>
    <row r="1992" spans="1:30" s="5" customFormat="1" ht="38.25" customHeight="1">
      <c r="A1992" s="294">
        <v>52.1</v>
      </c>
      <c r="B1992" s="293" t="s">
        <v>555</v>
      </c>
      <c r="C1992" s="294">
        <v>1</v>
      </c>
      <c r="D1992" s="280">
        <v>1</v>
      </c>
      <c r="E1992" s="294">
        <v>100</v>
      </c>
      <c r="F1992" s="338">
        <v>3</v>
      </c>
      <c r="G1992" s="338"/>
      <c r="H1992" s="338"/>
      <c r="I1992" s="339">
        <f>PRODUCT(C1992:H1992)</f>
        <v>300</v>
      </c>
      <c r="J1992" s="343" t="s">
        <v>47</v>
      </c>
      <c r="K1992" s="44"/>
      <c r="L1992" s="44"/>
      <c r="M1992" s="44"/>
      <c r="N1992" s="7">
        <f>1.2+2.285+2.285</f>
        <v>5.77</v>
      </c>
      <c r="O1992" s="7"/>
      <c r="P1992" s="7"/>
      <c r="Q1992" s="7"/>
      <c r="R1992" s="7"/>
      <c r="S1992" s="7"/>
      <c r="T1992" s="7"/>
      <c r="U1992" s="7"/>
      <c r="V1992" s="7"/>
      <c r="W1992" s="7"/>
      <c r="X1992" s="7"/>
      <c r="Y1992" s="7"/>
      <c r="Z1992" s="7"/>
      <c r="AA1992" s="7"/>
      <c r="AB1992" s="7"/>
      <c r="AC1992" s="7"/>
      <c r="AD1992" s="7"/>
    </row>
    <row r="1993" spans="1:30" s="5" customFormat="1" ht="30" customHeight="1">
      <c r="A1993" s="294">
        <v>56.1</v>
      </c>
      <c r="B1993" s="293" t="s">
        <v>554</v>
      </c>
      <c r="C1993" s="294">
        <v>1</v>
      </c>
      <c r="D1993" s="280">
        <v>1</v>
      </c>
      <c r="E1993" s="294">
        <v>2</v>
      </c>
      <c r="F1993" s="338"/>
      <c r="G1993" s="338"/>
      <c r="H1993" s="338"/>
      <c r="I1993" s="339">
        <f>PRODUCT(C1993:H1993)</f>
        <v>2</v>
      </c>
      <c r="J1993" s="343" t="s">
        <v>23</v>
      </c>
      <c r="K1993" s="44"/>
      <c r="L1993" s="44"/>
      <c r="M1993" s="44"/>
      <c r="N1993" s="7"/>
      <c r="O1993" s="7"/>
      <c r="P1993" s="7"/>
      <c r="Q1993" s="7"/>
      <c r="R1993" s="7"/>
      <c r="S1993" s="7"/>
      <c r="T1993" s="7"/>
      <c r="U1993" s="7"/>
      <c r="V1993" s="7"/>
      <c r="W1993" s="7"/>
      <c r="X1993" s="7"/>
      <c r="Y1993" s="7"/>
      <c r="Z1993" s="7"/>
      <c r="AA1993" s="7"/>
      <c r="AB1993" s="7"/>
      <c r="AC1993" s="7"/>
      <c r="AD1993" s="7"/>
    </row>
    <row r="1994" spans="1:30" s="5" customFormat="1" ht="33" customHeight="1">
      <c r="A1994" s="294">
        <v>56.2</v>
      </c>
      <c r="B1994" s="293" t="s">
        <v>553</v>
      </c>
      <c r="C1994" s="294">
        <v>1</v>
      </c>
      <c r="D1994" s="280">
        <v>1</v>
      </c>
      <c r="E1994" s="294">
        <v>100</v>
      </c>
      <c r="F1994" s="338"/>
      <c r="G1994" s="338"/>
      <c r="H1994" s="338"/>
      <c r="I1994" s="339">
        <f>PRODUCT(C1994:H1994)</f>
        <v>100</v>
      </c>
      <c r="J1994" s="343" t="s">
        <v>23</v>
      </c>
      <c r="K1994" s="44"/>
      <c r="L1994" s="44"/>
      <c r="M1994" s="44"/>
      <c r="N1994" s="7"/>
      <c r="O1994" s="7"/>
      <c r="P1994" s="7"/>
      <c r="Q1994" s="7"/>
      <c r="R1994" s="7"/>
      <c r="S1994" s="7"/>
      <c r="T1994" s="7"/>
      <c r="U1994" s="7"/>
      <c r="V1994" s="7"/>
      <c r="W1994" s="7"/>
      <c r="X1994" s="7"/>
      <c r="Y1994" s="7"/>
      <c r="Z1994" s="7"/>
      <c r="AA1994" s="7"/>
      <c r="AB1994" s="7"/>
      <c r="AC1994" s="7"/>
      <c r="AD1994" s="7"/>
    </row>
    <row r="1995" spans="1:30" s="5" customFormat="1" ht="23.25" customHeight="1">
      <c r="A1995" s="294">
        <v>57</v>
      </c>
      <c r="B1995" s="293" t="s">
        <v>552</v>
      </c>
      <c r="C1995" s="294">
        <v>1</v>
      </c>
      <c r="D1995" s="280">
        <v>1</v>
      </c>
      <c r="E1995" s="294">
        <v>100</v>
      </c>
      <c r="F1995" s="338"/>
      <c r="G1995" s="338"/>
      <c r="H1995" s="338"/>
      <c r="I1995" s="339">
        <f>PRODUCT(C1995:H1995)</f>
        <v>100</v>
      </c>
      <c r="J1995" s="343" t="s">
        <v>23</v>
      </c>
      <c r="K1995" s="44"/>
      <c r="L1995" s="44"/>
      <c r="M1995" s="44"/>
      <c r="N1995" s="7"/>
      <c r="O1995" s="7"/>
      <c r="P1995" s="7"/>
      <c r="Q1995" s="7"/>
      <c r="R1995" s="7"/>
      <c r="S1995" s="7"/>
      <c r="T1995" s="7"/>
      <c r="U1995" s="7"/>
      <c r="V1995" s="7"/>
      <c r="W1995" s="7"/>
      <c r="X1995" s="7"/>
      <c r="Y1995" s="7"/>
      <c r="Z1995" s="7"/>
      <c r="AA1995" s="7"/>
      <c r="AB1995" s="7"/>
      <c r="AC1995" s="7"/>
      <c r="AD1995" s="7"/>
    </row>
    <row r="1996" spans="1:30" s="5" customFormat="1" ht="31.5" customHeight="1">
      <c r="A1996" s="294">
        <v>59.2</v>
      </c>
      <c r="B1996" s="293" t="s">
        <v>551</v>
      </c>
      <c r="C1996" s="346"/>
      <c r="D1996" s="280"/>
      <c r="E1996" s="346"/>
      <c r="F1996" s="337"/>
      <c r="G1996" s="337"/>
      <c r="H1996" s="337"/>
      <c r="I1996" s="347"/>
      <c r="J1996" s="284"/>
      <c r="K1996" s="43"/>
      <c r="L1996" s="43"/>
      <c r="M1996" s="43"/>
      <c r="N1996" s="7"/>
      <c r="O1996" s="7"/>
      <c r="P1996" s="7"/>
      <c r="Q1996" s="7"/>
      <c r="R1996" s="7"/>
      <c r="S1996" s="7"/>
      <c r="T1996" s="7"/>
      <c r="U1996" s="7"/>
      <c r="V1996" s="7"/>
      <c r="W1996" s="7"/>
      <c r="X1996" s="7"/>
      <c r="Y1996" s="7"/>
      <c r="Z1996" s="7"/>
      <c r="AA1996" s="7"/>
      <c r="AB1996" s="7"/>
      <c r="AC1996" s="7"/>
      <c r="AD1996" s="7"/>
    </row>
    <row r="1997" spans="1:30" s="5" customFormat="1" ht="23.25" customHeight="1">
      <c r="A1997" s="294"/>
      <c r="B1997" s="293" t="s">
        <v>550</v>
      </c>
      <c r="C1997" s="294">
        <v>10</v>
      </c>
      <c r="D1997" s="280">
        <v>3</v>
      </c>
      <c r="E1997" s="294">
        <v>1</v>
      </c>
      <c r="F1997" s="338"/>
      <c r="G1997" s="338"/>
      <c r="H1997" s="338"/>
      <c r="I1997" s="347">
        <f>PRODUCT(C1997:H1997)</f>
        <v>30</v>
      </c>
      <c r="J1997" s="340"/>
      <c r="K1997" s="39"/>
      <c r="L1997" s="39"/>
      <c r="M1997" s="39"/>
      <c r="N1997" s="7"/>
      <c r="O1997" s="7"/>
      <c r="P1997" s="7"/>
      <c r="Q1997" s="7"/>
      <c r="R1997" s="7"/>
      <c r="S1997" s="7"/>
      <c r="T1997" s="7"/>
      <c r="U1997" s="7"/>
      <c r="V1997" s="7"/>
      <c r="W1997" s="7"/>
      <c r="X1997" s="7"/>
      <c r="Y1997" s="7"/>
      <c r="Z1997" s="7"/>
      <c r="AA1997" s="7"/>
      <c r="AB1997" s="7"/>
      <c r="AC1997" s="7"/>
      <c r="AD1997" s="7"/>
    </row>
    <row r="1998" spans="1:30" s="5" customFormat="1" ht="23.25" customHeight="1">
      <c r="A1998" s="481"/>
      <c r="B1998" s="293"/>
      <c r="C1998" s="294"/>
      <c r="D1998" s="280"/>
      <c r="E1998" s="294"/>
      <c r="F1998" s="338"/>
      <c r="G1998" s="338"/>
      <c r="H1998" s="338"/>
      <c r="I1998" s="339">
        <f>SUM(I1997:I1997)</f>
        <v>30</v>
      </c>
      <c r="J1998" s="343" t="s">
        <v>23</v>
      </c>
      <c r="K1998" s="44"/>
      <c r="L1998" s="44"/>
      <c r="M1998" s="44"/>
      <c r="N1998" s="7"/>
      <c r="O1998" s="7"/>
      <c r="P1998" s="7"/>
      <c r="Q1998" s="7"/>
      <c r="R1998" s="7"/>
      <c r="S1998" s="7"/>
      <c r="T1998" s="7"/>
      <c r="U1998" s="7"/>
      <c r="V1998" s="7"/>
      <c r="W1998" s="7"/>
      <c r="X1998" s="7"/>
      <c r="Y1998" s="7"/>
      <c r="Z1998" s="7"/>
      <c r="AA1998" s="7"/>
      <c r="AB1998" s="7"/>
      <c r="AC1998" s="7"/>
      <c r="AD1998" s="7"/>
    </row>
    <row r="1999" spans="1:30" s="5" customFormat="1" ht="23.25" customHeight="1">
      <c r="A1999" s="294">
        <v>60</v>
      </c>
      <c r="B1999" s="293" t="s">
        <v>24</v>
      </c>
      <c r="C1999" s="346"/>
      <c r="D1999" s="280"/>
      <c r="E1999" s="346"/>
      <c r="F1999" s="337"/>
      <c r="G1999" s="337"/>
      <c r="H1999" s="337"/>
      <c r="I1999" s="347"/>
      <c r="J1999" s="284"/>
      <c r="K1999" s="43"/>
      <c r="L1999" s="43"/>
      <c r="M1999" s="43"/>
      <c r="N1999" s="7"/>
      <c r="O1999" s="7"/>
      <c r="P1999" s="7"/>
      <c r="Q1999" s="7"/>
      <c r="R1999" s="7"/>
      <c r="S1999" s="7"/>
      <c r="T1999" s="7"/>
      <c r="U1999" s="7"/>
      <c r="V1999" s="7"/>
      <c r="W1999" s="7"/>
      <c r="X1999" s="7"/>
      <c r="Y1999" s="7"/>
      <c r="Z1999" s="7"/>
      <c r="AA1999" s="7"/>
      <c r="AB1999" s="7"/>
      <c r="AC1999" s="7"/>
      <c r="AD1999" s="7"/>
    </row>
    <row r="2000" spans="1:30" s="5" customFormat="1" ht="23.25" customHeight="1">
      <c r="A2000" s="294"/>
      <c r="B2000" s="293" t="s">
        <v>549</v>
      </c>
      <c r="C2000" s="294">
        <v>1</v>
      </c>
      <c r="D2000" s="280">
        <v>2</v>
      </c>
      <c r="E2000" s="294">
        <v>2</v>
      </c>
      <c r="F2000" s="337"/>
      <c r="G2000" s="337"/>
      <c r="H2000" s="337"/>
      <c r="I2000" s="347">
        <f>PRODUCT(C2000:H2000)</f>
        <v>4</v>
      </c>
      <c r="J2000" s="284"/>
      <c r="K2000" s="43"/>
      <c r="L2000" s="43"/>
      <c r="M2000" s="43"/>
      <c r="N2000" s="7"/>
      <c r="O2000" s="7"/>
      <c r="P2000" s="7"/>
      <c r="Q2000" s="7"/>
      <c r="R2000" s="7"/>
      <c r="S2000" s="7"/>
      <c r="T2000" s="7"/>
      <c r="U2000" s="7"/>
      <c r="V2000" s="7"/>
      <c r="W2000" s="7"/>
      <c r="X2000" s="7"/>
      <c r="Y2000" s="7"/>
      <c r="Z2000" s="7"/>
      <c r="AA2000" s="7"/>
      <c r="AB2000" s="7"/>
      <c r="AC2000" s="7"/>
      <c r="AD2000" s="7"/>
    </row>
    <row r="2001" spans="1:30" s="5" customFormat="1" ht="36.75" customHeight="1">
      <c r="A2001" s="294"/>
      <c r="B2001" s="293" t="s">
        <v>548</v>
      </c>
      <c r="C2001" s="294">
        <v>100</v>
      </c>
      <c r="D2001" s="280">
        <v>1</v>
      </c>
      <c r="E2001" s="294">
        <v>5</v>
      </c>
      <c r="F2001" s="337"/>
      <c r="G2001" s="337"/>
      <c r="H2001" s="337"/>
      <c r="I2001" s="347">
        <f>PRODUCT(C2001:H2001)</f>
        <v>500</v>
      </c>
      <c r="J2001" s="284"/>
      <c r="K2001" s="43"/>
      <c r="L2001" s="43"/>
      <c r="M2001" s="43"/>
      <c r="N2001" s="7"/>
      <c r="O2001" s="7"/>
      <c r="P2001" s="7"/>
      <c r="Q2001" s="7"/>
      <c r="R2001" s="7"/>
      <c r="S2001" s="7"/>
      <c r="T2001" s="7"/>
      <c r="U2001" s="7"/>
      <c r="V2001" s="7"/>
      <c r="W2001" s="7"/>
      <c r="X2001" s="7"/>
      <c r="Y2001" s="7"/>
      <c r="Z2001" s="7"/>
      <c r="AA2001" s="7"/>
      <c r="AB2001" s="7"/>
      <c r="AC2001" s="7"/>
      <c r="AD2001" s="7"/>
    </row>
    <row r="2002" spans="1:30" s="5" customFormat="1" ht="25.5" customHeight="1">
      <c r="A2002" s="294"/>
      <c r="B2002" s="293"/>
      <c r="C2002" s="294"/>
      <c r="D2002" s="280"/>
      <c r="E2002" s="294"/>
      <c r="F2002" s="338"/>
      <c r="G2002" s="338"/>
      <c r="H2002" s="338"/>
      <c r="I2002" s="339">
        <f>SUM(I2000:I2001)</f>
        <v>504</v>
      </c>
      <c r="J2002" s="343" t="s">
        <v>23</v>
      </c>
      <c r="K2002" s="44"/>
      <c r="L2002" s="44"/>
      <c r="M2002" s="44"/>
      <c r="N2002" s="7"/>
      <c r="O2002" s="7"/>
      <c r="P2002" s="7"/>
      <c r="Q2002" s="7"/>
      <c r="R2002" s="7"/>
      <c r="S2002" s="7"/>
      <c r="T2002" s="7"/>
      <c r="U2002" s="7"/>
      <c r="V2002" s="7"/>
      <c r="W2002" s="7"/>
      <c r="X2002" s="7"/>
      <c r="Y2002" s="7"/>
      <c r="Z2002" s="7"/>
      <c r="AA2002" s="7"/>
      <c r="AB2002" s="7"/>
      <c r="AC2002" s="7"/>
      <c r="AD2002" s="7"/>
    </row>
    <row r="2003" spans="1:30" s="102" customFormat="1" ht="23.25" customHeight="1">
      <c r="A2003" s="294">
        <v>69</v>
      </c>
      <c r="B2003" s="319" t="s">
        <v>36</v>
      </c>
      <c r="C2003" s="294"/>
      <c r="D2003" s="280"/>
      <c r="E2003" s="294"/>
      <c r="F2003" s="338"/>
      <c r="G2003" s="338"/>
      <c r="H2003" s="338"/>
      <c r="I2003" s="339"/>
      <c r="J2003" s="340"/>
      <c r="K2003" s="39"/>
      <c r="L2003" s="39"/>
      <c r="M2003" s="39"/>
      <c r="N2003" s="103"/>
      <c r="O2003" s="103"/>
      <c r="P2003" s="103"/>
      <c r="Q2003" s="103"/>
      <c r="R2003" s="103"/>
      <c r="S2003" s="103"/>
      <c r="T2003" s="103"/>
      <c r="U2003" s="103"/>
      <c r="V2003" s="103"/>
      <c r="W2003" s="103"/>
      <c r="X2003" s="103"/>
      <c r="Y2003" s="103"/>
      <c r="Z2003" s="103"/>
      <c r="AA2003" s="103"/>
      <c r="AB2003" s="103"/>
      <c r="AC2003" s="103"/>
      <c r="AD2003" s="103"/>
    </row>
    <row r="2004" spans="1:30" s="102" customFormat="1" ht="23.25" customHeight="1">
      <c r="A2004" s="289"/>
      <c r="B2004" s="319" t="s">
        <v>547</v>
      </c>
      <c r="C2004" s="294"/>
      <c r="D2004" s="280"/>
      <c r="E2004" s="294"/>
      <c r="F2004" s="338"/>
      <c r="G2004" s="338"/>
      <c r="H2004" s="338"/>
      <c r="I2004" s="347"/>
      <c r="J2004" s="340"/>
      <c r="K2004" s="39"/>
      <c r="L2004" s="39"/>
      <c r="M2004" s="39"/>
      <c r="N2004" s="103"/>
      <c r="O2004" s="103"/>
      <c r="P2004" s="103"/>
      <c r="Q2004" s="103"/>
      <c r="R2004" s="103"/>
      <c r="S2004" s="103"/>
      <c r="T2004" s="103"/>
      <c r="U2004" s="103"/>
      <c r="V2004" s="103"/>
      <c r="W2004" s="103"/>
      <c r="X2004" s="103"/>
      <c r="Y2004" s="103"/>
      <c r="Z2004" s="103"/>
      <c r="AA2004" s="103"/>
      <c r="AB2004" s="103"/>
      <c r="AC2004" s="103"/>
      <c r="AD2004" s="103"/>
    </row>
    <row r="2005" spans="1:30" s="102" customFormat="1" ht="59.25" customHeight="1">
      <c r="A2005" s="289"/>
      <c r="B2005" s="293" t="s">
        <v>1467</v>
      </c>
      <c r="C2005" s="294">
        <v>100</v>
      </c>
      <c r="D2005" s="280">
        <v>1</v>
      </c>
      <c r="E2005" s="294">
        <v>6</v>
      </c>
      <c r="F2005" s="338"/>
      <c r="G2005" s="338"/>
      <c r="H2005" s="338"/>
      <c r="I2005" s="339">
        <f>PRODUCT(C2005:H2005)</f>
        <v>600</v>
      </c>
      <c r="J2005" s="343" t="s">
        <v>23</v>
      </c>
      <c r="K2005" s="44"/>
      <c r="L2005" s="44"/>
      <c r="M2005" s="44"/>
      <c r="N2005" s="103"/>
      <c r="O2005" s="103"/>
      <c r="P2005" s="103"/>
      <c r="Q2005" s="103"/>
      <c r="R2005" s="103"/>
      <c r="S2005" s="103"/>
      <c r="T2005" s="103"/>
      <c r="U2005" s="103"/>
      <c r="V2005" s="103"/>
      <c r="W2005" s="103"/>
      <c r="X2005" s="103"/>
      <c r="Y2005" s="103"/>
      <c r="Z2005" s="103"/>
      <c r="AA2005" s="103"/>
      <c r="AB2005" s="103"/>
      <c r="AC2005" s="103"/>
      <c r="AD2005" s="103"/>
    </row>
    <row r="2006" spans="1:30" s="4" customFormat="1" ht="23.25" customHeight="1">
      <c r="A2006" s="505"/>
      <c r="B2006" s="508"/>
      <c r="C2006" s="509"/>
      <c r="D2006" s="475"/>
      <c r="E2006" s="509"/>
      <c r="F2006" s="510"/>
      <c r="G2006" s="510"/>
      <c r="H2006" s="510"/>
      <c r="I2006" s="511"/>
      <c r="J2006" s="506"/>
      <c r="K2006" s="127"/>
      <c r="L2006" s="127"/>
      <c r="M2006" s="127"/>
      <c r="N2006" s="126"/>
      <c r="O2006" s="126"/>
      <c r="P2006" s="126"/>
      <c r="Q2006" s="126"/>
      <c r="R2006" s="126"/>
      <c r="S2006" s="126"/>
      <c r="T2006" s="126"/>
      <c r="U2006" s="126"/>
      <c r="V2006" s="126"/>
      <c r="W2006" s="126"/>
      <c r="X2006" s="126"/>
      <c r="Y2006" s="126"/>
      <c r="Z2006" s="126"/>
      <c r="AA2006" s="126"/>
      <c r="AB2006" s="126"/>
      <c r="AC2006" s="126"/>
      <c r="AD2006" s="126"/>
    </row>
    <row r="2007" spans="1:30" s="102" customFormat="1" ht="23.25" customHeight="1">
      <c r="A2007" s="289">
        <v>72</v>
      </c>
      <c r="B2007" s="319" t="s">
        <v>14</v>
      </c>
      <c r="C2007" s="369"/>
      <c r="D2007" s="280"/>
      <c r="E2007" s="369"/>
      <c r="F2007" s="338"/>
      <c r="G2007" s="338"/>
      <c r="H2007" s="338"/>
      <c r="I2007" s="347"/>
      <c r="J2007" s="340"/>
      <c r="K2007" s="39"/>
      <c r="L2007" s="39"/>
      <c r="M2007" s="39"/>
      <c r="N2007" s="103"/>
      <c r="O2007" s="103"/>
      <c r="P2007" s="103"/>
      <c r="Q2007" s="103"/>
      <c r="R2007" s="103"/>
      <c r="S2007" s="103"/>
      <c r="T2007" s="103"/>
      <c r="U2007" s="103"/>
      <c r="V2007" s="103"/>
      <c r="W2007" s="103"/>
      <c r="X2007" s="103"/>
      <c r="Y2007" s="103"/>
      <c r="Z2007" s="103"/>
      <c r="AA2007" s="103"/>
      <c r="AB2007" s="103"/>
      <c r="AC2007" s="103"/>
      <c r="AD2007" s="103"/>
    </row>
    <row r="2008" spans="1:30" s="102" customFormat="1" ht="23.25" customHeight="1">
      <c r="A2008" s="289"/>
      <c r="B2008" s="293" t="s">
        <v>546</v>
      </c>
      <c r="C2008" s="369">
        <v>100</v>
      </c>
      <c r="D2008" s="280">
        <v>1</v>
      </c>
      <c r="E2008" s="369">
        <v>3</v>
      </c>
      <c r="F2008" s="338"/>
      <c r="G2008" s="338"/>
      <c r="H2008" s="338"/>
      <c r="I2008" s="347">
        <f t="shared" ref="I2008:I2014" si="84">PRODUCT(C2008:H2008)</f>
        <v>300</v>
      </c>
      <c r="J2008" s="340"/>
      <c r="K2008" s="39"/>
      <c r="L2008" s="39"/>
      <c r="M2008" s="39"/>
      <c r="N2008" s="103"/>
      <c r="O2008" s="103"/>
      <c r="P2008" s="103"/>
      <c r="Q2008" s="103"/>
      <c r="R2008" s="103"/>
      <c r="S2008" s="103"/>
      <c r="T2008" s="103"/>
      <c r="U2008" s="103"/>
      <c r="V2008" s="103"/>
      <c r="W2008" s="103"/>
      <c r="X2008" s="103"/>
      <c r="Y2008" s="103"/>
      <c r="Z2008" s="103"/>
      <c r="AA2008" s="103"/>
      <c r="AB2008" s="103"/>
      <c r="AC2008" s="103"/>
      <c r="AD2008" s="103"/>
    </row>
    <row r="2009" spans="1:30" s="102" customFormat="1" ht="23.25" customHeight="1">
      <c r="A2009" s="289"/>
      <c r="B2009" s="293" t="s">
        <v>545</v>
      </c>
      <c r="C2009" s="369">
        <v>100</v>
      </c>
      <c r="D2009" s="280">
        <v>1</v>
      </c>
      <c r="E2009" s="369">
        <v>3</v>
      </c>
      <c r="F2009" s="338"/>
      <c r="G2009" s="338"/>
      <c r="H2009" s="338"/>
      <c r="I2009" s="347">
        <f t="shared" si="84"/>
        <v>300</v>
      </c>
      <c r="J2009" s="340"/>
      <c r="K2009" s="39"/>
      <c r="L2009" s="39"/>
      <c r="M2009" s="39"/>
      <c r="N2009" s="103"/>
      <c r="O2009" s="103"/>
      <c r="P2009" s="103"/>
      <c r="Q2009" s="103"/>
      <c r="R2009" s="103"/>
      <c r="S2009" s="103"/>
      <c r="T2009" s="103"/>
      <c r="U2009" s="103"/>
      <c r="V2009" s="103"/>
      <c r="W2009" s="103"/>
      <c r="X2009" s="103"/>
      <c r="Y2009" s="103"/>
      <c r="Z2009" s="103"/>
      <c r="AA2009" s="103"/>
      <c r="AB2009" s="103"/>
      <c r="AC2009" s="103"/>
      <c r="AD2009" s="103"/>
    </row>
    <row r="2010" spans="1:30" s="102" customFormat="1" ht="23.25" customHeight="1">
      <c r="A2010" s="289"/>
      <c r="B2010" s="293" t="s">
        <v>542</v>
      </c>
      <c r="C2010" s="369">
        <v>1</v>
      </c>
      <c r="D2010" s="280">
        <v>1</v>
      </c>
      <c r="E2010" s="369">
        <v>1</v>
      </c>
      <c r="F2010" s="338"/>
      <c r="G2010" s="338"/>
      <c r="H2010" s="338"/>
      <c r="I2010" s="347">
        <f t="shared" si="84"/>
        <v>1</v>
      </c>
      <c r="J2010" s="340"/>
      <c r="K2010" s="39"/>
      <c r="L2010" s="39"/>
      <c r="M2010" s="39"/>
      <c r="N2010" s="103"/>
      <c r="O2010" s="103"/>
      <c r="P2010" s="103"/>
      <c r="Q2010" s="103"/>
      <c r="R2010" s="103"/>
      <c r="S2010" s="103"/>
      <c r="T2010" s="103"/>
      <c r="U2010" s="103"/>
      <c r="V2010" s="103"/>
      <c r="W2010" s="103"/>
      <c r="X2010" s="103"/>
      <c r="Y2010" s="103"/>
      <c r="Z2010" s="103"/>
      <c r="AA2010" s="103"/>
      <c r="AB2010" s="103"/>
      <c r="AC2010" s="103"/>
      <c r="AD2010" s="103"/>
    </row>
    <row r="2011" spans="1:30" s="102" customFormat="1" ht="23.25" customHeight="1">
      <c r="A2011" s="289"/>
      <c r="B2011" s="293" t="s">
        <v>113</v>
      </c>
      <c r="C2011" s="369">
        <v>1</v>
      </c>
      <c r="D2011" s="280">
        <v>2</v>
      </c>
      <c r="E2011" s="369">
        <v>2</v>
      </c>
      <c r="F2011" s="338"/>
      <c r="G2011" s="338"/>
      <c r="H2011" s="338"/>
      <c r="I2011" s="347">
        <f t="shared" si="84"/>
        <v>4</v>
      </c>
      <c r="J2011" s="340"/>
      <c r="K2011" s="39"/>
      <c r="L2011" s="39"/>
      <c r="M2011" s="39"/>
      <c r="N2011" s="103"/>
      <c r="O2011" s="103"/>
      <c r="P2011" s="103"/>
      <c r="Q2011" s="103"/>
      <c r="R2011" s="103"/>
      <c r="S2011" s="103"/>
      <c r="T2011" s="103"/>
      <c r="U2011" s="103"/>
      <c r="V2011" s="103"/>
      <c r="W2011" s="103"/>
      <c r="X2011" s="103"/>
      <c r="Y2011" s="103"/>
      <c r="Z2011" s="103"/>
      <c r="AA2011" s="103"/>
      <c r="AB2011" s="103"/>
      <c r="AC2011" s="103"/>
      <c r="AD2011" s="103"/>
    </row>
    <row r="2012" spans="1:30" s="102" customFormat="1" ht="23.25" customHeight="1">
      <c r="A2012" s="289"/>
      <c r="B2012" s="293" t="s">
        <v>112</v>
      </c>
      <c r="C2012" s="369">
        <v>1</v>
      </c>
      <c r="D2012" s="280">
        <v>1</v>
      </c>
      <c r="E2012" s="369">
        <v>1</v>
      </c>
      <c r="F2012" s="338"/>
      <c r="G2012" s="338"/>
      <c r="H2012" s="338"/>
      <c r="I2012" s="347">
        <f t="shared" si="84"/>
        <v>1</v>
      </c>
      <c r="J2012" s="340"/>
      <c r="K2012" s="39"/>
      <c r="L2012" s="39"/>
      <c r="M2012" s="39"/>
      <c r="N2012" s="103"/>
      <c r="O2012" s="103"/>
      <c r="P2012" s="103"/>
      <c r="Q2012" s="103"/>
      <c r="R2012" s="103"/>
      <c r="S2012" s="103"/>
      <c r="T2012" s="103"/>
      <c r="U2012" s="103"/>
      <c r="V2012" s="103"/>
      <c r="W2012" s="103"/>
      <c r="X2012" s="103"/>
      <c r="Y2012" s="103"/>
      <c r="Z2012" s="103"/>
      <c r="AA2012" s="103"/>
      <c r="AB2012" s="103"/>
      <c r="AC2012" s="103"/>
      <c r="AD2012" s="103"/>
    </row>
    <row r="2013" spans="1:30" s="102" customFormat="1" ht="23.25" customHeight="1">
      <c r="A2013" s="289"/>
      <c r="B2013" s="293" t="s">
        <v>307</v>
      </c>
      <c r="C2013" s="369">
        <v>1</v>
      </c>
      <c r="D2013" s="280">
        <v>1</v>
      </c>
      <c r="E2013" s="369">
        <v>1</v>
      </c>
      <c r="F2013" s="338"/>
      <c r="G2013" s="338"/>
      <c r="H2013" s="338"/>
      <c r="I2013" s="347">
        <f t="shared" si="84"/>
        <v>1</v>
      </c>
      <c r="J2013" s="340"/>
      <c r="K2013" s="39"/>
      <c r="L2013" s="39"/>
      <c r="M2013" s="39"/>
      <c r="N2013" s="103"/>
      <c r="O2013" s="103"/>
      <c r="P2013" s="103"/>
      <c r="Q2013" s="103"/>
      <c r="R2013" s="103"/>
      <c r="S2013" s="103"/>
      <c r="T2013" s="103"/>
      <c r="U2013" s="103"/>
      <c r="V2013" s="103"/>
      <c r="W2013" s="103"/>
      <c r="X2013" s="103"/>
      <c r="Y2013" s="103"/>
      <c r="Z2013" s="103"/>
      <c r="AA2013" s="103"/>
      <c r="AB2013" s="103"/>
      <c r="AC2013" s="103"/>
      <c r="AD2013" s="103"/>
    </row>
    <row r="2014" spans="1:30" s="102" customFormat="1" ht="23.25" customHeight="1">
      <c r="A2014" s="289"/>
      <c r="B2014" s="293" t="s">
        <v>111</v>
      </c>
      <c r="C2014" s="369">
        <v>1</v>
      </c>
      <c r="D2014" s="280">
        <v>1</v>
      </c>
      <c r="E2014" s="369">
        <v>1</v>
      </c>
      <c r="F2014" s="338"/>
      <c r="G2014" s="338"/>
      <c r="H2014" s="338"/>
      <c r="I2014" s="347">
        <f t="shared" si="84"/>
        <v>1</v>
      </c>
      <c r="J2014" s="340"/>
      <c r="K2014" s="39"/>
      <c r="L2014" s="39"/>
      <c r="M2014" s="39"/>
      <c r="N2014" s="103"/>
      <c r="O2014" s="103"/>
      <c r="P2014" s="103"/>
      <c r="Q2014" s="103"/>
      <c r="R2014" s="103"/>
      <c r="S2014" s="103"/>
      <c r="T2014" s="103"/>
      <c r="U2014" s="103"/>
      <c r="V2014" s="103"/>
      <c r="W2014" s="103"/>
      <c r="X2014" s="103"/>
      <c r="Y2014" s="103"/>
      <c r="Z2014" s="103"/>
      <c r="AA2014" s="103"/>
      <c r="AB2014" s="103"/>
      <c r="AC2014" s="103"/>
      <c r="AD2014" s="103"/>
    </row>
    <row r="2015" spans="1:30" s="102" customFormat="1">
      <c r="A2015" s="289"/>
      <c r="B2015" s="293"/>
      <c r="C2015" s="369"/>
      <c r="D2015" s="280"/>
      <c r="E2015" s="369"/>
      <c r="F2015" s="338"/>
      <c r="G2015" s="595" t="s">
        <v>41</v>
      </c>
      <c r="H2015" s="596"/>
      <c r="I2015" s="339">
        <f>SUM(I2008:I2014)</f>
        <v>608</v>
      </c>
      <c r="J2015" s="343" t="s">
        <v>23</v>
      </c>
      <c r="K2015" s="44"/>
      <c r="L2015" s="44"/>
      <c r="M2015" s="44"/>
      <c r="N2015" s="103"/>
      <c r="O2015" s="103"/>
      <c r="P2015" s="103"/>
      <c r="Q2015" s="103"/>
      <c r="R2015" s="103"/>
      <c r="S2015" s="103"/>
      <c r="T2015" s="103"/>
      <c r="U2015" s="103"/>
      <c r="V2015" s="103"/>
      <c r="W2015" s="103"/>
      <c r="X2015" s="103"/>
      <c r="Y2015" s="103"/>
      <c r="Z2015" s="103"/>
      <c r="AA2015" s="103"/>
      <c r="AB2015" s="103"/>
      <c r="AC2015" s="103"/>
      <c r="AD2015" s="103"/>
    </row>
    <row r="2016" spans="1:30" s="128" customFormat="1" ht="18.75" customHeight="1">
      <c r="A2016" s="289">
        <v>74</v>
      </c>
      <c r="B2016" s="319" t="s">
        <v>544</v>
      </c>
      <c r="C2016" s="346"/>
      <c r="D2016" s="280"/>
      <c r="E2016" s="346"/>
      <c r="F2016" s="337"/>
      <c r="G2016" s="337"/>
      <c r="H2016" s="337"/>
      <c r="I2016" s="347"/>
      <c r="J2016" s="284"/>
      <c r="K2016" s="274"/>
      <c r="L2016" s="274"/>
      <c r="M2016" s="274"/>
      <c r="N2016" s="129"/>
      <c r="O2016" s="129"/>
      <c r="P2016" s="129"/>
      <c r="Q2016" s="129"/>
      <c r="R2016" s="129"/>
      <c r="S2016" s="129"/>
      <c r="T2016" s="129"/>
      <c r="U2016" s="129"/>
      <c r="V2016" s="129"/>
      <c r="W2016" s="129"/>
      <c r="X2016" s="129"/>
      <c r="Y2016" s="129"/>
      <c r="Z2016" s="129"/>
      <c r="AA2016" s="129"/>
      <c r="AB2016" s="129"/>
      <c r="AC2016" s="129"/>
      <c r="AD2016" s="129"/>
    </row>
    <row r="2017" spans="1:30" s="37" customFormat="1" ht="18.75" customHeight="1">
      <c r="A2017" s="289"/>
      <c r="B2017" s="293" t="s">
        <v>158</v>
      </c>
      <c r="C2017" s="369">
        <v>100</v>
      </c>
      <c r="D2017" s="280">
        <v>1</v>
      </c>
      <c r="E2017" s="369">
        <v>2</v>
      </c>
      <c r="F2017" s="338"/>
      <c r="G2017" s="338"/>
      <c r="H2017" s="338"/>
      <c r="I2017" s="347">
        <f t="shared" ref="I2017:I2023" si="85">PRODUCT(C2017:H2017)</f>
        <v>200</v>
      </c>
      <c r="J2017" s="340"/>
      <c r="K2017" s="341"/>
      <c r="L2017" s="341"/>
      <c r="M2017" s="341"/>
      <c r="N2017" s="38"/>
      <c r="O2017" s="38"/>
      <c r="P2017" s="38"/>
      <c r="Q2017" s="38"/>
      <c r="R2017" s="38"/>
      <c r="S2017" s="38"/>
      <c r="T2017" s="38"/>
      <c r="U2017" s="38"/>
      <c r="V2017" s="38"/>
      <c r="W2017" s="38"/>
      <c r="X2017" s="38"/>
      <c r="Y2017" s="38"/>
      <c r="Z2017" s="38"/>
      <c r="AA2017" s="38"/>
      <c r="AB2017" s="38"/>
      <c r="AC2017" s="38"/>
      <c r="AD2017" s="38"/>
    </row>
    <row r="2018" spans="1:30" s="37" customFormat="1" ht="18.75" customHeight="1">
      <c r="A2018" s="289"/>
      <c r="B2018" s="293" t="s">
        <v>543</v>
      </c>
      <c r="C2018" s="369">
        <v>100</v>
      </c>
      <c r="D2018" s="280">
        <v>1</v>
      </c>
      <c r="E2018" s="369">
        <v>2</v>
      </c>
      <c r="F2018" s="338"/>
      <c r="G2018" s="338"/>
      <c r="H2018" s="338"/>
      <c r="I2018" s="347">
        <f t="shared" si="85"/>
        <v>200</v>
      </c>
      <c r="J2018" s="340"/>
      <c r="K2018" s="341"/>
      <c r="L2018" s="341"/>
      <c r="M2018" s="341"/>
      <c r="N2018" s="38"/>
      <c r="O2018" s="38"/>
      <c r="P2018" s="38"/>
      <c r="Q2018" s="38"/>
      <c r="R2018" s="38"/>
      <c r="S2018" s="38"/>
      <c r="T2018" s="38"/>
      <c r="U2018" s="38"/>
      <c r="V2018" s="38"/>
      <c r="W2018" s="38"/>
      <c r="X2018" s="38"/>
      <c r="Y2018" s="38"/>
      <c r="Z2018" s="38"/>
      <c r="AA2018" s="38"/>
      <c r="AB2018" s="38"/>
      <c r="AC2018" s="38"/>
      <c r="AD2018" s="38"/>
    </row>
    <row r="2019" spans="1:30" s="37" customFormat="1" ht="18.75" customHeight="1">
      <c r="A2019" s="289"/>
      <c r="B2019" s="293" t="s">
        <v>542</v>
      </c>
      <c r="C2019" s="369">
        <v>1</v>
      </c>
      <c r="D2019" s="280">
        <v>1</v>
      </c>
      <c r="E2019" s="369">
        <v>1</v>
      </c>
      <c r="F2019" s="338"/>
      <c r="G2019" s="338"/>
      <c r="H2019" s="338"/>
      <c r="I2019" s="347">
        <f t="shared" si="85"/>
        <v>1</v>
      </c>
      <c r="J2019" s="340"/>
      <c r="K2019" s="341"/>
      <c r="L2019" s="341"/>
      <c r="M2019" s="341"/>
      <c r="N2019" s="38"/>
      <c r="O2019" s="38"/>
      <c r="P2019" s="38"/>
      <c r="Q2019" s="38"/>
      <c r="R2019" s="38"/>
      <c r="S2019" s="38"/>
      <c r="T2019" s="38"/>
      <c r="U2019" s="38"/>
      <c r="V2019" s="38"/>
      <c r="W2019" s="38"/>
      <c r="X2019" s="38"/>
      <c r="Y2019" s="38"/>
      <c r="Z2019" s="38"/>
      <c r="AA2019" s="38"/>
      <c r="AB2019" s="38"/>
      <c r="AC2019" s="38"/>
      <c r="AD2019" s="38"/>
    </row>
    <row r="2020" spans="1:30" s="37" customFormat="1" ht="18.75" customHeight="1">
      <c r="A2020" s="289"/>
      <c r="B2020" s="293" t="s">
        <v>113</v>
      </c>
      <c r="C2020" s="369">
        <v>1</v>
      </c>
      <c r="D2020" s="280">
        <v>2</v>
      </c>
      <c r="E2020" s="369">
        <v>2</v>
      </c>
      <c r="F2020" s="338"/>
      <c r="G2020" s="338"/>
      <c r="H2020" s="338"/>
      <c r="I2020" s="347">
        <f t="shared" si="85"/>
        <v>4</v>
      </c>
      <c r="J2020" s="340"/>
      <c r="K2020" s="341"/>
      <c r="L2020" s="341"/>
      <c r="M2020" s="341"/>
      <c r="N2020" s="38"/>
      <c r="O2020" s="38"/>
      <c r="P2020" s="38"/>
      <c r="Q2020" s="38"/>
      <c r="R2020" s="38"/>
      <c r="S2020" s="38"/>
      <c r="T2020" s="38"/>
      <c r="U2020" s="38"/>
      <c r="V2020" s="38"/>
      <c r="W2020" s="38"/>
      <c r="X2020" s="38"/>
      <c r="Y2020" s="38"/>
      <c r="Z2020" s="38"/>
      <c r="AA2020" s="38"/>
      <c r="AB2020" s="38"/>
      <c r="AC2020" s="38"/>
      <c r="AD2020" s="38"/>
    </row>
    <row r="2021" spans="1:30" s="37" customFormat="1" ht="18.75" customHeight="1">
      <c r="A2021" s="289"/>
      <c r="B2021" s="293" t="s">
        <v>112</v>
      </c>
      <c r="C2021" s="369">
        <v>1</v>
      </c>
      <c r="D2021" s="280">
        <v>1</v>
      </c>
      <c r="E2021" s="369">
        <v>1</v>
      </c>
      <c r="F2021" s="338"/>
      <c r="G2021" s="338"/>
      <c r="H2021" s="338"/>
      <c r="I2021" s="347">
        <f t="shared" si="85"/>
        <v>1</v>
      </c>
      <c r="J2021" s="340"/>
      <c r="K2021" s="341"/>
      <c r="L2021" s="341"/>
      <c r="M2021" s="341"/>
      <c r="N2021" s="38"/>
      <c r="O2021" s="38"/>
      <c r="P2021" s="38"/>
      <c r="Q2021" s="38"/>
      <c r="R2021" s="38"/>
      <c r="S2021" s="38"/>
      <c r="T2021" s="38"/>
      <c r="U2021" s="38"/>
      <c r="V2021" s="38"/>
      <c r="W2021" s="38"/>
      <c r="X2021" s="38"/>
      <c r="Y2021" s="38"/>
      <c r="Z2021" s="38"/>
      <c r="AA2021" s="38"/>
      <c r="AB2021" s="38"/>
      <c r="AC2021" s="38"/>
      <c r="AD2021" s="38"/>
    </row>
    <row r="2022" spans="1:30" s="37" customFormat="1" ht="18.75" customHeight="1">
      <c r="A2022" s="289"/>
      <c r="B2022" s="293" t="s">
        <v>307</v>
      </c>
      <c r="C2022" s="369">
        <v>1</v>
      </c>
      <c r="D2022" s="280">
        <v>1</v>
      </c>
      <c r="E2022" s="369">
        <v>1</v>
      </c>
      <c r="F2022" s="338"/>
      <c r="G2022" s="338"/>
      <c r="H2022" s="338"/>
      <c r="I2022" s="347">
        <f t="shared" si="85"/>
        <v>1</v>
      </c>
      <c r="J2022" s="340"/>
      <c r="K2022" s="341"/>
      <c r="L2022" s="341"/>
      <c r="M2022" s="341"/>
      <c r="N2022" s="38"/>
      <c r="O2022" s="38"/>
      <c r="P2022" s="38"/>
      <c r="Q2022" s="38"/>
      <c r="R2022" s="38"/>
      <c r="S2022" s="38"/>
      <c r="T2022" s="38"/>
      <c r="U2022" s="38"/>
      <c r="V2022" s="38"/>
      <c r="W2022" s="38"/>
      <c r="X2022" s="38"/>
      <c r="Y2022" s="38"/>
      <c r="Z2022" s="38"/>
      <c r="AA2022" s="38"/>
      <c r="AB2022" s="38"/>
      <c r="AC2022" s="38"/>
      <c r="AD2022" s="38"/>
    </row>
    <row r="2023" spans="1:30" s="37" customFormat="1" ht="18.75" customHeight="1">
      <c r="A2023" s="289"/>
      <c r="B2023" s="293" t="s">
        <v>111</v>
      </c>
      <c r="C2023" s="369">
        <v>1</v>
      </c>
      <c r="D2023" s="280">
        <v>1</v>
      </c>
      <c r="E2023" s="369">
        <v>1</v>
      </c>
      <c r="F2023" s="338"/>
      <c r="G2023" s="338"/>
      <c r="H2023" s="338"/>
      <c r="I2023" s="347">
        <f t="shared" si="85"/>
        <v>1</v>
      </c>
      <c r="J2023" s="340"/>
      <c r="K2023" s="341"/>
      <c r="L2023" s="341"/>
      <c r="M2023" s="341"/>
      <c r="N2023" s="38"/>
      <c r="O2023" s="38"/>
      <c r="P2023" s="38"/>
      <c r="Q2023" s="38"/>
      <c r="R2023" s="38"/>
      <c r="S2023" s="38"/>
      <c r="T2023" s="38"/>
      <c r="U2023" s="38"/>
      <c r="V2023" s="38"/>
      <c r="W2023" s="38"/>
      <c r="X2023" s="38"/>
      <c r="Y2023" s="38"/>
      <c r="Z2023" s="38"/>
      <c r="AA2023" s="38"/>
      <c r="AB2023" s="38"/>
      <c r="AC2023" s="38"/>
      <c r="AD2023" s="38"/>
    </row>
    <row r="2024" spans="1:30" s="128" customFormat="1" ht="18.75" customHeight="1">
      <c r="A2024" s="370"/>
      <c r="B2024" s="342"/>
      <c r="C2024" s="369"/>
      <c r="D2024" s="280"/>
      <c r="E2024" s="369"/>
      <c r="F2024" s="338"/>
      <c r="G2024" s="338"/>
      <c r="H2024" s="338"/>
      <c r="I2024" s="339">
        <f>SUM(I2017:I2023)</f>
        <v>408</v>
      </c>
      <c r="J2024" s="343" t="s">
        <v>23</v>
      </c>
      <c r="K2024" s="344"/>
      <c r="L2024" s="344"/>
      <c r="M2024" s="344"/>
      <c r="N2024" s="129"/>
      <c r="O2024" s="129"/>
      <c r="P2024" s="129"/>
      <c r="Q2024" s="129"/>
      <c r="R2024" s="129"/>
      <c r="S2024" s="129"/>
      <c r="T2024" s="129"/>
      <c r="U2024" s="129"/>
      <c r="V2024" s="129"/>
      <c r="W2024" s="129"/>
      <c r="X2024" s="129"/>
      <c r="Y2024" s="129"/>
      <c r="Z2024" s="129"/>
      <c r="AA2024" s="129"/>
      <c r="AB2024" s="129"/>
      <c r="AC2024" s="129"/>
      <c r="AD2024" s="129"/>
    </row>
    <row r="2025" spans="1:30" s="4" customFormat="1">
      <c r="A2025" s="521"/>
      <c r="B2025" s="508"/>
      <c r="C2025" s="522"/>
      <c r="D2025" s="475"/>
      <c r="E2025" s="522"/>
      <c r="F2025" s="510"/>
      <c r="G2025" s="510"/>
      <c r="H2025" s="510"/>
      <c r="I2025" s="523"/>
      <c r="J2025" s="506"/>
      <c r="K2025" s="127"/>
      <c r="L2025" s="127"/>
      <c r="M2025" s="127"/>
      <c r="N2025" s="126"/>
      <c r="O2025" s="126"/>
      <c r="P2025" s="126"/>
      <c r="Q2025" s="126"/>
      <c r="R2025" s="126"/>
      <c r="S2025" s="126"/>
      <c r="T2025" s="126"/>
      <c r="U2025" s="126"/>
      <c r="V2025" s="126"/>
      <c r="W2025" s="126"/>
      <c r="X2025" s="126"/>
      <c r="Y2025" s="126"/>
      <c r="Z2025" s="126"/>
      <c r="AA2025" s="126"/>
      <c r="AB2025" s="126"/>
      <c r="AC2025" s="126"/>
      <c r="AD2025" s="126"/>
    </row>
    <row r="2026" spans="1:30" s="5" customFormat="1" ht="23.25" customHeight="1">
      <c r="A2026" s="345">
        <v>76</v>
      </c>
      <c r="B2026" s="319" t="s">
        <v>15</v>
      </c>
      <c r="C2026" s="369">
        <v>1</v>
      </c>
      <c r="D2026" s="280">
        <v>1</v>
      </c>
      <c r="E2026" s="369">
        <v>10</v>
      </c>
      <c r="F2026" s="338">
        <v>10</v>
      </c>
      <c r="G2026" s="338"/>
      <c r="H2026" s="338"/>
      <c r="I2026" s="339">
        <f>PRODUCT(C2026:H2026)</f>
        <v>100</v>
      </c>
      <c r="J2026" s="343" t="s">
        <v>47</v>
      </c>
      <c r="K2026" s="44"/>
      <c r="L2026" s="44"/>
      <c r="M2026" s="44"/>
      <c r="N2026" s="7"/>
      <c r="O2026" s="7"/>
      <c r="P2026" s="7"/>
      <c r="Q2026" s="7"/>
      <c r="R2026" s="7"/>
      <c r="S2026" s="7"/>
      <c r="T2026" s="7"/>
      <c r="U2026" s="7"/>
      <c r="V2026" s="7"/>
      <c r="W2026" s="7"/>
      <c r="X2026" s="7"/>
      <c r="Y2026" s="7"/>
      <c r="Z2026" s="7"/>
      <c r="AA2026" s="7"/>
      <c r="AB2026" s="7"/>
      <c r="AC2026" s="7"/>
      <c r="AD2026" s="7"/>
    </row>
    <row r="2027" spans="1:30" s="4" customFormat="1">
      <c r="A2027" s="521"/>
      <c r="B2027" s="508"/>
      <c r="C2027" s="522"/>
      <c r="D2027" s="475"/>
      <c r="E2027" s="522"/>
      <c r="F2027" s="510"/>
      <c r="G2027" s="510"/>
      <c r="H2027" s="510"/>
      <c r="I2027" s="523"/>
      <c r="J2027" s="506"/>
      <c r="K2027" s="127"/>
      <c r="L2027" s="127"/>
      <c r="M2027" s="127"/>
      <c r="N2027" s="126"/>
      <c r="O2027" s="126"/>
      <c r="P2027" s="126"/>
      <c r="Q2027" s="126"/>
      <c r="R2027" s="126"/>
      <c r="S2027" s="126"/>
      <c r="T2027" s="126"/>
      <c r="U2027" s="126"/>
      <c r="V2027" s="126"/>
      <c r="W2027" s="126"/>
      <c r="X2027" s="126"/>
      <c r="Y2027" s="126"/>
      <c r="Z2027" s="126"/>
      <c r="AA2027" s="126"/>
      <c r="AB2027" s="126"/>
      <c r="AC2027" s="126"/>
      <c r="AD2027" s="126"/>
    </row>
    <row r="2028" spans="1:30" s="5" customFormat="1">
      <c r="A2028" s="289">
        <v>78</v>
      </c>
      <c r="B2028" s="319" t="s">
        <v>38</v>
      </c>
      <c r="C2028" s="369">
        <v>1</v>
      </c>
      <c r="D2028" s="280">
        <v>1</v>
      </c>
      <c r="E2028" s="369">
        <v>10</v>
      </c>
      <c r="F2028" s="338"/>
      <c r="G2028" s="338"/>
      <c r="H2028" s="338"/>
      <c r="I2028" s="339">
        <f>PRODUCT(C2028:H2028)</f>
        <v>10</v>
      </c>
      <c r="J2028" s="343" t="s">
        <v>23</v>
      </c>
      <c r="K2028" s="44"/>
      <c r="L2028" s="44"/>
      <c r="M2028" s="44"/>
      <c r="N2028" s="7"/>
      <c r="O2028" s="7"/>
      <c r="P2028" s="7"/>
      <c r="Q2028" s="7"/>
      <c r="R2028" s="7"/>
      <c r="S2028" s="7"/>
      <c r="T2028" s="7"/>
      <c r="U2028" s="7"/>
      <c r="V2028" s="7"/>
      <c r="W2028" s="7"/>
      <c r="X2028" s="7"/>
      <c r="Y2028" s="7"/>
      <c r="Z2028" s="7"/>
      <c r="AA2028" s="7"/>
      <c r="AB2028" s="7"/>
      <c r="AC2028" s="7"/>
      <c r="AD2028" s="7"/>
    </row>
    <row r="2029" spans="1:30" s="4" customFormat="1" ht="23.25" customHeight="1">
      <c r="A2029" s="505"/>
      <c r="B2029" s="524"/>
      <c r="C2029" s="525"/>
      <c r="D2029" s="475"/>
      <c r="E2029" s="525"/>
      <c r="F2029" s="526"/>
      <c r="G2029" s="526"/>
      <c r="H2029" s="526"/>
      <c r="I2029" s="523"/>
      <c r="J2029" s="527"/>
      <c r="K2029" s="113"/>
      <c r="L2029" s="113"/>
      <c r="M2029" s="113"/>
      <c r="N2029" s="126"/>
      <c r="O2029" s="126"/>
      <c r="P2029" s="126"/>
      <c r="Q2029" s="126"/>
      <c r="R2029" s="126"/>
      <c r="S2029" s="126"/>
      <c r="T2029" s="126"/>
      <c r="U2029" s="126"/>
      <c r="V2029" s="126"/>
      <c r="W2029" s="126"/>
      <c r="X2029" s="126"/>
      <c r="Y2029" s="126"/>
      <c r="Z2029" s="126"/>
      <c r="AA2029" s="126"/>
      <c r="AB2029" s="126"/>
      <c r="AC2029" s="126"/>
      <c r="AD2029" s="126"/>
    </row>
    <row r="2030" spans="1:30" s="128" customFormat="1" ht="23.25" customHeight="1">
      <c r="A2030" s="294">
        <v>86</v>
      </c>
      <c r="B2030" s="319" t="s">
        <v>5</v>
      </c>
      <c r="C2030" s="336"/>
      <c r="D2030" s="280"/>
      <c r="E2030" s="336"/>
      <c r="F2030" s="337"/>
      <c r="G2030" s="337"/>
      <c r="H2030" s="337"/>
      <c r="I2030" s="347"/>
      <c r="J2030" s="528"/>
      <c r="K2030" s="130"/>
      <c r="L2030" s="130"/>
      <c r="M2030" s="130"/>
      <c r="N2030" s="129"/>
      <c r="O2030" s="129"/>
      <c r="P2030" s="129"/>
      <c r="Q2030" s="129"/>
      <c r="R2030" s="129"/>
      <c r="S2030" s="129"/>
      <c r="T2030" s="129"/>
      <c r="U2030" s="129"/>
      <c r="V2030" s="129"/>
      <c r="W2030" s="129"/>
      <c r="X2030" s="129"/>
      <c r="Y2030" s="129"/>
      <c r="Z2030" s="129"/>
      <c r="AA2030" s="129"/>
      <c r="AB2030" s="129"/>
      <c r="AC2030" s="129"/>
      <c r="AD2030" s="129"/>
    </row>
    <row r="2031" spans="1:30" s="73" customFormat="1" ht="23.25" customHeight="1">
      <c r="A2031" s="278"/>
      <c r="B2031" s="279" t="s">
        <v>1272</v>
      </c>
      <c r="C2031" s="280">
        <v>1</v>
      </c>
      <c r="D2031" s="280">
        <v>1</v>
      </c>
      <c r="E2031" s="280">
        <v>1</v>
      </c>
      <c r="F2031" s="281">
        <v>50.06</v>
      </c>
      <c r="G2031" s="281">
        <v>24.77</v>
      </c>
      <c r="H2031" s="282"/>
      <c r="I2031" s="283">
        <f>PRODUCT(C2031:H2031)</f>
        <v>1239.99</v>
      </c>
      <c r="J2031" s="284"/>
      <c r="K2031" s="274"/>
      <c r="L2031" s="274"/>
      <c r="M2031" s="274"/>
      <c r="N2031" s="74"/>
      <c r="O2031" s="74"/>
      <c r="P2031" s="74"/>
      <c r="Q2031" s="74"/>
      <c r="R2031" s="74"/>
      <c r="S2031" s="74"/>
      <c r="T2031" s="74"/>
      <c r="U2031" s="74"/>
      <c r="V2031" s="74"/>
      <c r="W2031" s="74"/>
      <c r="X2031" s="74"/>
      <c r="Y2031" s="74"/>
      <c r="Z2031" s="74"/>
      <c r="AA2031" s="74"/>
      <c r="AB2031" s="74"/>
      <c r="AC2031" s="74"/>
      <c r="AD2031" s="74"/>
    </row>
    <row r="2032" spans="1:30" s="128" customFormat="1" ht="23.25" customHeight="1">
      <c r="A2032" s="294"/>
      <c r="B2032" s="279"/>
      <c r="C2032" s="336"/>
      <c r="D2032" s="280"/>
      <c r="E2032" s="336"/>
      <c r="F2032" s="337"/>
      <c r="G2032" s="337"/>
      <c r="H2032" s="338"/>
      <c r="I2032" s="339">
        <f>SUM(I2031:I2031)</f>
        <v>1239.99</v>
      </c>
      <c r="J2032" s="340"/>
      <c r="K2032" s="341"/>
      <c r="L2032" s="341"/>
      <c r="M2032" s="341"/>
      <c r="N2032" s="129"/>
      <c r="O2032" s="129"/>
      <c r="P2032" s="129"/>
      <c r="Q2032" s="129"/>
      <c r="R2032" s="129"/>
      <c r="S2032" s="129"/>
      <c r="T2032" s="129"/>
      <c r="U2032" s="129"/>
      <c r="V2032" s="129"/>
      <c r="W2032" s="129"/>
      <c r="X2032" s="129"/>
      <c r="Y2032" s="129"/>
      <c r="Z2032" s="129"/>
      <c r="AA2032" s="129"/>
      <c r="AB2032" s="129"/>
      <c r="AC2032" s="129"/>
      <c r="AD2032" s="129"/>
    </row>
    <row r="2033" spans="1:30" s="128" customFormat="1">
      <c r="A2033" s="294"/>
      <c r="B2033" s="342"/>
      <c r="C2033" s="336"/>
      <c r="D2033" s="280"/>
      <c r="E2033" s="336"/>
      <c r="F2033" s="337"/>
      <c r="G2033" s="337"/>
      <c r="H2033" s="338" t="s">
        <v>55</v>
      </c>
      <c r="I2033" s="416">
        <f>ROUNDUP(I2032,0)</f>
        <v>1240</v>
      </c>
      <c r="J2033" s="343" t="s">
        <v>4</v>
      </c>
      <c r="K2033" s="344"/>
      <c r="L2033" s="344"/>
      <c r="M2033" s="344"/>
      <c r="N2033" s="129"/>
      <c r="O2033" s="129"/>
      <c r="P2033" s="129"/>
      <c r="Q2033" s="129"/>
      <c r="R2033" s="129"/>
      <c r="S2033" s="129"/>
      <c r="T2033" s="129"/>
      <c r="U2033" s="129"/>
      <c r="V2033" s="129"/>
      <c r="W2033" s="129"/>
      <c r="X2033" s="129"/>
      <c r="Y2033" s="129"/>
      <c r="Z2033" s="129"/>
      <c r="AA2033" s="129"/>
      <c r="AB2033" s="129"/>
      <c r="AC2033" s="129"/>
      <c r="AD2033" s="129"/>
    </row>
    <row r="2034" spans="1:30" s="128" customFormat="1">
      <c r="A2034" s="402">
        <v>112</v>
      </c>
      <c r="B2034" s="403" t="s">
        <v>541</v>
      </c>
      <c r="C2034" s="336"/>
      <c r="D2034" s="280"/>
      <c r="E2034" s="336"/>
      <c r="F2034" s="337"/>
      <c r="G2034" s="337"/>
      <c r="H2034" s="337"/>
      <c r="I2034" s="347"/>
      <c r="J2034" s="284"/>
      <c r="K2034" s="274"/>
      <c r="L2034" s="274"/>
      <c r="M2034" s="274"/>
      <c r="N2034" s="129"/>
      <c r="O2034" s="129"/>
      <c r="P2034" s="129"/>
      <c r="Q2034" s="129"/>
      <c r="R2034" s="129"/>
      <c r="S2034" s="129"/>
      <c r="T2034" s="129"/>
      <c r="U2034" s="129"/>
      <c r="V2034" s="129"/>
      <c r="W2034" s="129"/>
      <c r="X2034" s="129"/>
      <c r="Y2034" s="129"/>
      <c r="Z2034" s="129"/>
      <c r="AA2034" s="129"/>
      <c r="AB2034" s="129"/>
      <c r="AC2034" s="129"/>
      <c r="AD2034" s="129"/>
    </row>
    <row r="2035" spans="1:30" s="128" customFormat="1">
      <c r="A2035" s="294"/>
      <c r="B2035" s="293" t="s">
        <v>105</v>
      </c>
      <c r="C2035" s="369">
        <v>100</v>
      </c>
      <c r="D2035" s="280">
        <v>1</v>
      </c>
      <c r="E2035" s="369">
        <v>1</v>
      </c>
      <c r="F2035" s="338"/>
      <c r="G2035" s="338"/>
      <c r="H2035" s="338"/>
      <c r="I2035" s="347">
        <f>PRODUCT(C2035:H2035)</f>
        <v>100</v>
      </c>
      <c r="J2035" s="340"/>
      <c r="K2035" s="341"/>
      <c r="L2035" s="341"/>
      <c r="M2035" s="341"/>
      <c r="N2035" s="129"/>
      <c r="O2035" s="129"/>
      <c r="P2035" s="129"/>
      <c r="Q2035" s="129"/>
      <c r="R2035" s="129"/>
      <c r="S2035" s="129"/>
      <c r="T2035" s="129"/>
      <c r="U2035" s="129"/>
      <c r="V2035" s="129"/>
      <c r="W2035" s="129"/>
      <c r="X2035" s="129"/>
      <c r="Y2035" s="129"/>
      <c r="Z2035" s="129"/>
      <c r="AA2035" s="129"/>
      <c r="AB2035" s="129"/>
      <c r="AC2035" s="129"/>
      <c r="AD2035" s="129"/>
    </row>
    <row r="2036" spans="1:30" s="128" customFormat="1">
      <c r="A2036" s="294"/>
      <c r="B2036" s="342"/>
      <c r="C2036" s="369"/>
      <c r="D2036" s="280"/>
      <c r="E2036" s="369"/>
      <c r="F2036" s="338"/>
      <c r="G2036" s="338"/>
      <c r="H2036" s="404" t="s">
        <v>60</v>
      </c>
      <c r="I2036" s="339">
        <f>SUM(I2035:I2035)</f>
        <v>100</v>
      </c>
      <c r="J2036" s="343" t="s">
        <v>23</v>
      </c>
      <c r="K2036" s="344"/>
      <c r="L2036" s="344"/>
      <c r="M2036" s="344"/>
      <c r="N2036" s="129"/>
      <c r="O2036" s="129"/>
      <c r="P2036" s="129"/>
      <c r="Q2036" s="129"/>
      <c r="R2036" s="129"/>
      <c r="S2036" s="129"/>
      <c r="T2036" s="129"/>
      <c r="U2036" s="129"/>
      <c r="V2036" s="129"/>
      <c r="W2036" s="129"/>
      <c r="X2036" s="129"/>
      <c r="Y2036" s="129"/>
      <c r="Z2036" s="129"/>
      <c r="AA2036" s="129"/>
      <c r="AB2036" s="129"/>
      <c r="AC2036" s="129"/>
      <c r="AD2036" s="129"/>
    </row>
    <row r="2037" spans="1:30" s="73" customFormat="1">
      <c r="A2037" s="289"/>
      <c r="B2037" s="342"/>
      <c r="C2037" s="336"/>
      <c r="D2037" s="280"/>
      <c r="E2037" s="336"/>
      <c r="F2037" s="337"/>
      <c r="G2037" s="337"/>
      <c r="H2037" s="337"/>
      <c r="I2037" s="339"/>
      <c r="J2037" s="284"/>
      <c r="K2037" s="274"/>
      <c r="L2037" s="274"/>
      <c r="M2037" s="274"/>
      <c r="N2037" s="74"/>
      <c r="O2037" s="74"/>
      <c r="P2037" s="74"/>
      <c r="Q2037" s="74"/>
      <c r="R2037" s="74"/>
      <c r="S2037" s="74"/>
      <c r="T2037" s="74"/>
      <c r="U2037" s="74"/>
      <c r="V2037" s="74"/>
      <c r="W2037" s="74"/>
      <c r="X2037" s="74"/>
      <c r="Y2037" s="74"/>
      <c r="Z2037" s="74"/>
      <c r="AA2037" s="74"/>
      <c r="AB2037" s="74"/>
      <c r="AC2037" s="74"/>
      <c r="AD2037" s="74"/>
    </row>
    <row r="2038" spans="1:30" s="5" customFormat="1">
      <c r="A2038" s="294"/>
      <c r="B2038" s="319" t="s">
        <v>13</v>
      </c>
      <c r="C2038" s="336"/>
      <c r="D2038" s="280"/>
      <c r="E2038" s="336"/>
      <c r="F2038" s="337"/>
      <c r="G2038" s="337"/>
      <c r="H2038" s="337"/>
      <c r="I2038" s="347"/>
      <c r="J2038" s="284"/>
      <c r="K2038" s="43"/>
      <c r="L2038" s="43"/>
      <c r="M2038" s="43"/>
      <c r="N2038" s="7"/>
      <c r="O2038" s="7"/>
      <c r="P2038" s="7"/>
      <c r="Q2038" s="7"/>
      <c r="R2038" s="7"/>
      <c r="S2038" s="7"/>
      <c r="T2038" s="7"/>
      <c r="U2038" s="7"/>
      <c r="V2038" s="7"/>
      <c r="W2038" s="7"/>
      <c r="X2038" s="7"/>
      <c r="Y2038" s="7"/>
      <c r="Z2038" s="7"/>
      <c r="AA2038" s="7"/>
      <c r="AB2038" s="7"/>
      <c r="AC2038" s="7"/>
      <c r="AD2038" s="7"/>
    </row>
    <row r="2039" spans="1:30" s="358" customFormat="1" ht="23.25" hidden="1" customHeight="1">
      <c r="A2039" s="288">
        <v>2.15</v>
      </c>
      <c r="B2039" s="286" t="s">
        <v>953</v>
      </c>
      <c r="C2039" s="280"/>
      <c r="D2039" s="280"/>
      <c r="E2039" s="280"/>
      <c r="F2039" s="282"/>
      <c r="G2039" s="282"/>
      <c r="H2039" s="282"/>
      <c r="I2039" s="283"/>
      <c r="J2039" s="284"/>
      <c r="K2039" s="356"/>
      <c r="L2039" s="356"/>
      <c r="M2039" s="356"/>
      <c r="N2039" s="357"/>
      <c r="O2039" s="357"/>
      <c r="P2039" s="357"/>
      <c r="Q2039" s="357"/>
      <c r="R2039" s="357"/>
      <c r="S2039" s="357"/>
      <c r="T2039" s="357"/>
      <c r="U2039" s="357"/>
      <c r="V2039" s="357"/>
      <c r="W2039" s="357"/>
      <c r="X2039" s="357"/>
      <c r="Y2039" s="357"/>
      <c r="Z2039" s="357"/>
      <c r="AA2039" s="357"/>
      <c r="AB2039" s="357"/>
      <c r="AC2039" s="357"/>
      <c r="AD2039" s="357"/>
    </row>
    <row r="2040" spans="1:30" s="358" customFormat="1" ht="19.5" hidden="1" customHeight="1">
      <c r="A2040" s="288"/>
      <c r="B2040" s="286" t="s">
        <v>854</v>
      </c>
      <c r="C2040" s="280"/>
      <c r="D2040" s="280"/>
      <c r="E2040" s="280"/>
      <c r="F2040" s="282"/>
      <c r="G2040" s="282"/>
      <c r="H2040" s="415"/>
      <c r="I2040" s="416"/>
      <c r="J2040" s="284"/>
      <c r="K2040" s="356"/>
      <c r="L2040" s="356"/>
      <c r="M2040" s="356"/>
      <c r="N2040" s="357"/>
      <c r="O2040" s="357"/>
      <c r="P2040" s="357"/>
      <c r="Q2040" s="357"/>
      <c r="R2040" s="357"/>
      <c r="S2040" s="357"/>
      <c r="T2040" s="357"/>
      <c r="U2040" s="357"/>
      <c r="V2040" s="357"/>
      <c r="W2040" s="357"/>
      <c r="X2040" s="357"/>
      <c r="Y2040" s="357"/>
      <c r="Z2040" s="357"/>
      <c r="AA2040" s="357"/>
      <c r="AB2040" s="357"/>
      <c r="AC2040" s="357"/>
      <c r="AD2040" s="357"/>
    </row>
    <row r="2041" spans="1:30" s="358" customFormat="1" ht="23.25" hidden="1" customHeight="1">
      <c r="A2041" s="278"/>
      <c r="B2041" s="279" t="s">
        <v>114</v>
      </c>
      <c r="C2041" s="280">
        <v>1</v>
      </c>
      <c r="D2041" s="280">
        <v>1</v>
      </c>
      <c r="E2041" s="280">
        <v>1</v>
      </c>
      <c r="F2041" s="281">
        <v>5.1849999999999996</v>
      </c>
      <c r="G2041" s="281">
        <v>3.2349999999999999</v>
      </c>
      <c r="H2041" s="281">
        <v>0.57499999999999996</v>
      </c>
      <c r="I2041" s="283">
        <f t="shared" ref="I2041:I2072" si="86">PRODUCT(C2041:H2041)</f>
        <v>9.64</v>
      </c>
      <c r="J2041" s="284"/>
      <c r="K2041" s="356"/>
      <c r="L2041" s="356"/>
      <c r="M2041" s="356"/>
      <c r="N2041" s="357"/>
      <c r="O2041" s="357"/>
      <c r="P2041" s="357"/>
      <c r="Q2041" s="357"/>
      <c r="R2041" s="357"/>
      <c r="S2041" s="357"/>
      <c r="T2041" s="357"/>
      <c r="U2041" s="357"/>
      <c r="V2041" s="357"/>
      <c r="W2041" s="357"/>
      <c r="X2041" s="357"/>
      <c r="Y2041" s="357"/>
      <c r="Z2041" s="357"/>
      <c r="AA2041" s="357"/>
      <c r="AB2041" s="357"/>
      <c r="AC2041" s="357"/>
      <c r="AD2041" s="357"/>
    </row>
    <row r="2042" spans="1:30" s="358" customFormat="1" ht="23.25" hidden="1" customHeight="1">
      <c r="A2042" s="278"/>
      <c r="B2042" s="279" t="s">
        <v>71</v>
      </c>
      <c r="C2042" s="280">
        <v>1</v>
      </c>
      <c r="D2042" s="280">
        <v>1</v>
      </c>
      <c r="E2042" s="280">
        <v>1</v>
      </c>
      <c r="F2042" s="281">
        <v>2.1</v>
      </c>
      <c r="G2042" s="281">
        <v>1.3149999999999999</v>
      </c>
      <c r="H2042" s="281">
        <v>0.57499999999999996</v>
      </c>
      <c r="I2042" s="283">
        <f t="shared" si="86"/>
        <v>1.59</v>
      </c>
      <c r="J2042" s="284"/>
      <c r="K2042" s="356"/>
      <c r="L2042" s="356"/>
      <c r="M2042" s="356"/>
      <c r="N2042" s="357"/>
      <c r="O2042" s="357"/>
      <c r="P2042" s="357"/>
      <c r="Q2042" s="357"/>
      <c r="R2042" s="357"/>
      <c r="S2042" s="357"/>
      <c r="T2042" s="357"/>
      <c r="U2042" s="357"/>
      <c r="V2042" s="357"/>
      <c r="W2042" s="357"/>
      <c r="X2042" s="357"/>
      <c r="Y2042" s="357"/>
      <c r="Z2042" s="357"/>
      <c r="AA2042" s="357"/>
      <c r="AB2042" s="357"/>
      <c r="AC2042" s="357"/>
      <c r="AD2042" s="357"/>
    </row>
    <row r="2043" spans="1:30" s="358" customFormat="1" ht="23.25" hidden="1" customHeight="1">
      <c r="A2043" s="278"/>
      <c r="B2043" s="279" t="s">
        <v>540</v>
      </c>
      <c r="C2043" s="280">
        <v>1</v>
      </c>
      <c r="D2043" s="280">
        <v>1</v>
      </c>
      <c r="E2043" s="280">
        <v>1</v>
      </c>
      <c r="F2043" s="281">
        <v>1.47</v>
      </c>
      <c r="G2043" s="281">
        <v>1.2649999999999999</v>
      </c>
      <c r="H2043" s="281">
        <v>0.57499999999999996</v>
      </c>
      <c r="I2043" s="283">
        <f t="shared" si="86"/>
        <v>1.07</v>
      </c>
      <c r="J2043" s="284"/>
      <c r="K2043" s="356"/>
      <c r="L2043" s="356"/>
      <c r="M2043" s="356"/>
      <c r="N2043" s="357"/>
      <c r="O2043" s="357"/>
      <c r="P2043" s="357"/>
      <c r="Q2043" s="357"/>
      <c r="R2043" s="357"/>
      <c r="S2043" s="357"/>
      <c r="T2043" s="357"/>
      <c r="U2043" s="357"/>
      <c r="V2043" s="357"/>
      <c r="W2043" s="357"/>
      <c r="X2043" s="357"/>
      <c r="Y2043" s="357"/>
      <c r="Z2043" s="357"/>
      <c r="AA2043" s="357"/>
      <c r="AB2043" s="357"/>
      <c r="AC2043" s="357"/>
      <c r="AD2043" s="357"/>
    </row>
    <row r="2044" spans="1:30" s="358" customFormat="1" ht="23.25" hidden="1" customHeight="1">
      <c r="A2044" s="278"/>
      <c r="B2044" s="279" t="s">
        <v>308</v>
      </c>
      <c r="C2044" s="280">
        <v>1</v>
      </c>
      <c r="D2044" s="280">
        <v>1</v>
      </c>
      <c r="E2044" s="280">
        <v>2</v>
      </c>
      <c r="F2044" s="281">
        <v>5.1749999999999998</v>
      </c>
      <c r="G2044" s="281">
        <v>3.165</v>
      </c>
      <c r="H2044" s="281">
        <v>0.57499999999999996</v>
      </c>
      <c r="I2044" s="283">
        <f t="shared" si="86"/>
        <v>18.84</v>
      </c>
      <c r="J2044" s="284"/>
      <c r="K2044" s="356"/>
      <c r="L2044" s="356"/>
      <c r="M2044" s="356"/>
      <c r="N2044" s="357"/>
      <c r="O2044" s="357"/>
      <c r="P2044" s="357"/>
      <c r="Q2044" s="357"/>
      <c r="R2044" s="357"/>
      <c r="S2044" s="357"/>
      <c r="T2044" s="357"/>
      <c r="U2044" s="357"/>
      <c r="V2044" s="357"/>
      <c r="W2044" s="357"/>
      <c r="X2044" s="357"/>
      <c r="Y2044" s="357"/>
      <c r="Z2044" s="357"/>
      <c r="AA2044" s="357"/>
      <c r="AB2044" s="357"/>
      <c r="AC2044" s="357"/>
      <c r="AD2044" s="357"/>
    </row>
    <row r="2045" spans="1:30" s="358" customFormat="1" ht="23.25" hidden="1" customHeight="1">
      <c r="A2045" s="278"/>
      <c r="B2045" s="279" t="s">
        <v>308</v>
      </c>
      <c r="C2045" s="280">
        <v>1</v>
      </c>
      <c r="D2045" s="280">
        <v>1</v>
      </c>
      <c r="E2045" s="280">
        <v>2</v>
      </c>
      <c r="F2045" s="281">
        <v>3.3849999999999998</v>
      </c>
      <c r="G2045" s="282">
        <v>4</v>
      </c>
      <c r="H2045" s="281">
        <v>0.57499999999999996</v>
      </c>
      <c r="I2045" s="283">
        <f t="shared" si="86"/>
        <v>15.57</v>
      </c>
      <c r="J2045" s="284"/>
      <c r="K2045" s="356"/>
      <c r="L2045" s="356"/>
      <c r="M2045" s="356"/>
      <c r="N2045" s="357"/>
      <c r="O2045" s="357"/>
      <c r="P2045" s="357"/>
      <c r="Q2045" s="357"/>
      <c r="R2045" s="357"/>
      <c r="S2045" s="357"/>
      <c r="T2045" s="357"/>
      <c r="U2045" s="357"/>
      <c r="V2045" s="357"/>
      <c r="W2045" s="357"/>
      <c r="X2045" s="357"/>
      <c r="Y2045" s="357"/>
      <c r="Z2045" s="357"/>
      <c r="AA2045" s="357"/>
      <c r="AB2045" s="357"/>
      <c r="AC2045" s="357"/>
      <c r="AD2045" s="357"/>
    </row>
    <row r="2046" spans="1:30" s="358" customFormat="1" ht="23.25" hidden="1" customHeight="1">
      <c r="A2046" s="278"/>
      <c r="B2046" s="279" t="s">
        <v>308</v>
      </c>
      <c r="C2046" s="280">
        <v>1</v>
      </c>
      <c r="D2046" s="280">
        <v>1</v>
      </c>
      <c r="E2046" s="280">
        <v>2</v>
      </c>
      <c r="F2046" s="281">
        <v>1.43</v>
      </c>
      <c r="G2046" s="282">
        <v>2.17</v>
      </c>
      <c r="H2046" s="281">
        <v>0.57499999999999996</v>
      </c>
      <c r="I2046" s="283">
        <f t="shared" si="86"/>
        <v>3.57</v>
      </c>
      <c r="J2046" s="284"/>
      <c r="K2046" s="356"/>
      <c r="L2046" s="356"/>
      <c r="M2046" s="356"/>
      <c r="N2046" s="357"/>
      <c r="O2046" s="357"/>
      <c r="P2046" s="357"/>
      <c r="Q2046" s="357"/>
      <c r="R2046" s="357"/>
      <c r="S2046" s="357"/>
      <c r="T2046" s="357"/>
      <c r="U2046" s="357"/>
      <c r="V2046" s="357"/>
      <c r="W2046" s="357"/>
      <c r="X2046" s="357"/>
      <c r="Y2046" s="357"/>
      <c r="Z2046" s="357"/>
      <c r="AA2046" s="357"/>
      <c r="AB2046" s="357"/>
      <c r="AC2046" s="357"/>
      <c r="AD2046" s="357"/>
    </row>
    <row r="2047" spans="1:30" s="358" customFormat="1" ht="23.25" hidden="1" customHeight="1">
      <c r="A2047" s="278"/>
      <c r="B2047" s="279" t="s">
        <v>889</v>
      </c>
      <c r="C2047" s="280">
        <v>1</v>
      </c>
      <c r="D2047" s="280">
        <v>1</v>
      </c>
      <c r="E2047" s="280">
        <v>2</v>
      </c>
      <c r="F2047" s="281">
        <v>14.16</v>
      </c>
      <c r="G2047" s="281">
        <v>8.8949999999999996</v>
      </c>
      <c r="H2047" s="281">
        <v>0.57499999999999996</v>
      </c>
      <c r="I2047" s="283">
        <f t="shared" si="86"/>
        <v>144.85</v>
      </c>
      <c r="J2047" s="284"/>
      <c r="K2047" s="356"/>
      <c r="L2047" s="356"/>
      <c r="M2047" s="356"/>
      <c r="N2047" s="357"/>
      <c r="O2047" s="357"/>
      <c r="P2047" s="357"/>
      <c r="Q2047" s="357"/>
      <c r="R2047" s="357"/>
      <c r="S2047" s="357"/>
      <c r="T2047" s="357"/>
      <c r="U2047" s="357"/>
      <c r="V2047" s="357"/>
      <c r="W2047" s="357"/>
      <c r="X2047" s="357"/>
      <c r="Y2047" s="357"/>
      <c r="Z2047" s="357"/>
      <c r="AA2047" s="357"/>
      <c r="AB2047" s="357"/>
      <c r="AC2047" s="357"/>
      <c r="AD2047" s="357"/>
    </row>
    <row r="2048" spans="1:30" s="358" customFormat="1" ht="23.25" hidden="1" customHeight="1">
      <c r="A2048" s="278"/>
      <c r="B2048" s="279" t="s">
        <v>890</v>
      </c>
      <c r="C2048" s="280">
        <v>1</v>
      </c>
      <c r="D2048" s="280">
        <v>1</v>
      </c>
      <c r="E2048" s="280">
        <v>3</v>
      </c>
      <c r="F2048" s="281">
        <v>6.9649999999999999</v>
      </c>
      <c r="G2048" s="281">
        <v>8.8949999999999996</v>
      </c>
      <c r="H2048" s="281">
        <v>0.57499999999999996</v>
      </c>
      <c r="I2048" s="283">
        <f t="shared" si="86"/>
        <v>106.87</v>
      </c>
      <c r="J2048" s="284"/>
      <c r="K2048" s="356"/>
      <c r="L2048" s="356"/>
      <c r="M2048" s="356"/>
      <c r="N2048" s="357"/>
      <c r="O2048" s="357"/>
      <c r="P2048" s="357"/>
      <c r="Q2048" s="357"/>
      <c r="R2048" s="357"/>
      <c r="S2048" s="357"/>
      <c r="T2048" s="357"/>
      <c r="U2048" s="357"/>
      <c r="V2048" s="357"/>
      <c r="W2048" s="357"/>
      <c r="X2048" s="357"/>
      <c r="Y2048" s="357"/>
      <c r="Z2048" s="357"/>
      <c r="AA2048" s="357"/>
      <c r="AB2048" s="357"/>
      <c r="AC2048" s="357"/>
      <c r="AD2048" s="357"/>
    </row>
    <row r="2049" spans="1:30" s="358" customFormat="1" ht="23.25" hidden="1" customHeight="1">
      <c r="A2049" s="278"/>
      <c r="B2049" s="279" t="s">
        <v>890</v>
      </c>
      <c r="C2049" s="280">
        <v>1</v>
      </c>
      <c r="D2049" s="280">
        <v>1</v>
      </c>
      <c r="E2049" s="280">
        <v>3</v>
      </c>
      <c r="F2049" s="281">
        <v>3.35</v>
      </c>
      <c r="G2049" s="281">
        <v>5.43</v>
      </c>
      <c r="H2049" s="281">
        <v>0.57499999999999996</v>
      </c>
      <c r="I2049" s="283">
        <f t="shared" si="86"/>
        <v>31.38</v>
      </c>
      <c r="J2049" s="284"/>
      <c r="K2049" s="356"/>
      <c r="L2049" s="356"/>
      <c r="M2049" s="356"/>
      <c r="N2049" s="357"/>
      <c r="O2049" s="357"/>
      <c r="P2049" s="357"/>
      <c r="Q2049" s="357"/>
      <c r="R2049" s="357"/>
      <c r="S2049" s="357"/>
      <c r="T2049" s="357"/>
      <c r="U2049" s="357"/>
      <c r="V2049" s="357"/>
      <c r="W2049" s="357"/>
      <c r="X2049" s="357"/>
      <c r="Y2049" s="357"/>
      <c r="Z2049" s="357"/>
      <c r="AA2049" s="357"/>
      <c r="AB2049" s="357"/>
      <c r="AC2049" s="357"/>
      <c r="AD2049" s="357"/>
    </row>
    <row r="2050" spans="1:30" s="358" customFormat="1" ht="23.25" hidden="1" customHeight="1">
      <c r="A2050" s="278"/>
      <c r="B2050" s="279" t="s">
        <v>890</v>
      </c>
      <c r="C2050" s="280">
        <v>1</v>
      </c>
      <c r="D2050" s="280">
        <v>1</v>
      </c>
      <c r="E2050" s="280">
        <v>3</v>
      </c>
      <c r="F2050" s="281">
        <v>1.55</v>
      </c>
      <c r="G2050" s="281">
        <v>3.2349999999999999</v>
      </c>
      <c r="H2050" s="281">
        <v>0.57499999999999996</v>
      </c>
      <c r="I2050" s="283">
        <f t="shared" si="86"/>
        <v>8.65</v>
      </c>
      <c r="J2050" s="284"/>
      <c r="K2050" s="356"/>
      <c r="L2050" s="356"/>
      <c r="M2050" s="356"/>
      <c r="N2050" s="357"/>
      <c r="O2050" s="357"/>
      <c r="P2050" s="357"/>
      <c r="Q2050" s="357"/>
      <c r="R2050" s="357"/>
      <c r="S2050" s="357"/>
      <c r="T2050" s="357"/>
      <c r="U2050" s="357"/>
      <c r="V2050" s="357"/>
      <c r="W2050" s="357"/>
      <c r="X2050" s="357"/>
      <c r="Y2050" s="357"/>
      <c r="Z2050" s="357"/>
      <c r="AA2050" s="357"/>
      <c r="AB2050" s="357"/>
      <c r="AC2050" s="357"/>
      <c r="AD2050" s="357"/>
    </row>
    <row r="2051" spans="1:30" s="358" customFormat="1" ht="23.25" hidden="1" customHeight="1">
      <c r="A2051" s="278"/>
      <c r="B2051" s="279" t="s">
        <v>891</v>
      </c>
      <c r="C2051" s="280">
        <v>1</v>
      </c>
      <c r="D2051" s="280">
        <v>1</v>
      </c>
      <c r="E2051" s="280">
        <v>2</v>
      </c>
      <c r="F2051" s="281">
        <v>2.85</v>
      </c>
      <c r="G2051" s="281">
        <v>4.2</v>
      </c>
      <c r="H2051" s="281">
        <v>0.57499999999999996</v>
      </c>
      <c r="I2051" s="283">
        <f t="shared" si="86"/>
        <v>13.77</v>
      </c>
      <c r="J2051" s="284"/>
      <c r="K2051" s="356"/>
      <c r="L2051" s="356"/>
      <c r="M2051" s="356"/>
      <c r="N2051" s="357"/>
      <c r="O2051" s="357"/>
      <c r="P2051" s="357"/>
      <c r="Q2051" s="357"/>
      <c r="R2051" s="357"/>
      <c r="S2051" s="357"/>
      <c r="T2051" s="357"/>
      <c r="U2051" s="357"/>
      <c r="V2051" s="357"/>
      <c r="W2051" s="357"/>
      <c r="X2051" s="357"/>
      <c r="Y2051" s="357"/>
      <c r="Z2051" s="357"/>
      <c r="AA2051" s="357"/>
      <c r="AB2051" s="357"/>
      <c r="AC2051" s="357"/>
      <c r="AD2051" s="357"/>
    </row>
    <row r="2052" spans="1:30" s="358" customFormat="1" ht="23.25" hidden="1" customHeight="1">
      <c r="A2052" s="278"/>
      <c r="B2052" s="279" t="s">
        <v>892</v>
      </c>
      <c r="C2052" s="280">
        <v>1</v>
      </c>
      <c r="D2052" s="280">
        <v>1</v>
      </c>
      <c r="E2052" s="280">
        <v>2</v>
      </c>
      <c r="F2052" s="281">
        <v>2.85</v>
      </c>
      <c r="G2052" s="281">
        <v>1.2</v>
      </c>
      <c r="H2052" s="281">
        <v>0.57499999999999996</v>
      </c>
      <c r="I2052" s="283">
        <f t="shared" si="86"/>
        <v>3.93</v>
      </c>
      <c r="J2052" s="284"/>
      <c r="K2052" s="356"/>
      <c r="L2052" s="356"/>
      <c r="M2052" s="356"/>
      <c r="N2052" s="357"/>
      <c r="O2052" s="357"/>
      <c r="P2052" s="357"/>
      <c r="Q2052" s="357"/>
      <c r="R2052" s="357"/>
      <c r="S2052" s="357"/>
      <c r="T2052" s="357"/>
      <c r="U2052" s="357"/>
      <c r="V2052" s="357"/>
      <c r="W2052" s="357"/>
      <c r="X2052" s="357"/>
      <c r="Y2052" s="357"/>
      <c r="Z2052" s="357"/>
      <c r="AA2052" s="357"/>
      <c r="AB2052" s="357"/>
      <c r="AC2052" s="357"/>
      <c r="AD2052" s="357"/>
    </row>
    <row r="2053" spans="1:30" s="358" customFormat="1" ht="23.25" hidden="1" customHeight="1">
      <c r="A2053" s="278"/>
      <c r="B2053" s="279" t="s">
        <v>893</v>
      </c>
      <c r="C2053" s="280">
        <v>1</v>
      </c>
      <c r="D2053" s="280">
        <v>1</v>
      </c>
      <c r="E2053" s="280">
        <v>2</v>
      </c>
      <c r="F2053" s="281">
        <v>1.8</v>
      </c>
      <c r="G2053" s="281">
        <v>2.0289999999999999</v>
      </c>
      <c r="H2053" s="281">
        <v>0.57499999999999996</v>
      </c>
      <c r="I2053" s="283">
        <f t="shared" si="86"/>
        <v>4.2</v>
      </c>
      <c r="J2053" s="284"/>
      <c r="K2053" s="356"/>
      <c r="L2053" s="356"/>
      <c r="M2053" s="356"/>
      <c r="N2053" s="357"/>
      <c r="O2053" s="357"/>
      <c r="P2053" s="357"/>
      <c r="Q2053" s="357"/>
      <c r="R2053" s="357"/>
      <c r="S2053" s="357"/>
      <c r="T2053" s="357"/>
      <c r="U2053" s="357"/>
      <c r="V2053" s="357"/>
      <c r="W2053" s="357"/>
      <c r="X2053" s="357"/>
      <c r="Y2053" s="357"/>
      <c r="Z2053" s="357"/>
      <c r="AA2053" s="357"/>
      <c r="AB2053" s="357"/>
      <c r="AC2053" s="357"/>
      <c r="AD2053" s="357"/>
    </row>
    <row r="2054" spans="1:30" s="358" customFormat="1" ht="23.25" hidden="1" customHeight="1">
      <c r="A2054" s="278"/>
      <c r="B2054" s="279" t="s">
        <v>539</v>
      </c>
      <c r="C2054" s="280">
        <v>1</v>
      </c>
      <c r="D2054" s="280">
        <v>1</v>
      </c>
      <c r="E2054" s="280">
        <v>2</v>
      </c>
      <c r="F2054" s="281">
        <v>1.9</v>
      </c>
      <c r="G2054" s="281">
        <v>3.1</v>
      </c>
      <c r="H2054" s="281">
        <v>0.57499999999999996</v>
      </c>
      <c r="I2054" s="283">
        <f t="shared" si="86"/>
        <v>6.77</v>
      </c>
      <c r="J2054" s="284"/>
      <c r="K2054" s="356"/>
      <c r="L2054" s="356"/>
      <c r="M2054" s="356"/>
      <c r="N2054" s="357"/>
      <c r="O2054" s="357"/>
      <c r="P2054" s="357"/>
      <c r="Q2054" s="357"/>
      <c r="R2054" s="357"/>
      <c r="S2054" s="357"/>
      <c r="T2054" s="357"/>
      <c r="U2054" s="357"/>
      <c r="V2054" s="357"/>
      <c r="W2054" s="357"/>
      <c r="X2054" s="357"/>
      <c r="Y2054" s="357"/>
      <c r="Z2054" s="357"/>
      <c r="AA2054" s="357"/>
      <c r="AB2054" s="357"/>
      <c r="AC2054" s="357"/>
      <c r="AD2054" s="357"/>
    </row>
    <row r="2055" spans="1:30" s="358" customFormat="1" ht="23.25" hidden="1" customHeight="1">
      <c r="A2055" s="278"/>
      <c r="B2055" s="279" t="s">
        <v>894</v>
      </c>
      <c r="C2055" s="280">
        <v>2</v>
      </c>
      <c r="D2055" s="280">
        <v>1</v>
      </c>
      <c r="E2055" s="280">
        <v>1</v>
      </c>
      <c r="F2055" s="281">
        <v>1.9</v>
      </c>
      <c r="G2055" s="281">
        <v>1.5</v>
      </c>
      <c r="H2055" s="281">
        <v>0.57499999999999996</v>
      </c>
      <c r="I2055" s="283">
        <f t="shared" si="86"/>
        <v>3.28</v>
      </c>
      <c r="J2055" s="284"/>
      <c r="K2055" s="356"/>
      <c r="L2055" s="356"/>
      <c r="M2055" s="356"/>
      <c r="N2055" s="357"/>
      <c r="O2055" s="357"/>
      <c r="P2055" s="357"/>
      <c r="Q2055" s="357"/>
      <c r="R2055" s="357"/>
      <c r="S2055" s="357"/>
      <c r="T2055" s="357"/>
      <c r="U2055" s="357"/>
      <c r="V2055" s="357"/>
      <c r="W2055" s="357"/>
      <c r="X2055" s="357"/>
      <c r="Y2055" s="357"/>
      <c r="Z2055" s="357"/>
      <c r="AA2055" s="357"/>
      <c r="AB2055" s="357"/>
      <c r="AC2055" s="357"/>
      <c r="AD2055" s="357"/>
    </row>
    <row r="2056" spans="1:30" s="358" customFormat="1" ht="23.25" hidden="1" customHeight="1">
      <c r="A2056" s="278"/>
      <c r="B2056" s="279" t="s">
        <v>895</v>
      </c>
      <c r="C2056" s="280">
        <v>1</v>
      </c>
      <c r="D2056" s="280">
        <v>1</v>
      </c>
      <c r="E2056" s="280">
        <v>1</v>
      </c>
      <c r="F2056" s="281">
        <v>4.9850000000000003</v>
      </c>
      <c r="G2056" s="281">
        <v>6.06</v>
      </c>
      <c r="H2056" s="281">
        <v>0.57499999999999996</v>
      </c>
      <c r="I2056" s="283">
        <f t="shared" si="86"/>
        <v>17.37</v>
      </c>
      <c r="J2056" s="284"/>
      <c r="K2056" s="356"/>
      <c r="L2056" s="356"/>
      <c r="M2056" s="356"/>
      <c r="N2056" s="357"/>
      <c r="O2056" s="357"/>
      <c r="P2056" s="357"/>
      <c r="Q2056" s="357"/>
      <c r="R2056" s="357"/>
      <c r="S2056" s="357"/>
      <c r="T2056" s="357"/>
      <c r="U2056" s="357"/>
      <c r="V2056" s="357"/>
      <c r="W2056" s="357"/>
      <c r="X2056" s="357"/>
      <c r="Y2056" s="357"/>
      <c r="Z2056" s="357"/>
      <c r="AA2056" s="357"/>
      <c r="AB2056" s="357"/>
      <c r="AC2056" s="357"/>
      <c r="AD2056" s="357"/>
    </row>
    <row r="2057" spans="1:30" s="358" customFormat="1" ht="23.25" hidden="1" customHeight="1">
      <c r="A2057" s="278"/>
      <c r="B2057" s="279" t="s">
        <v>896</v>
      </c>
      <c r="C2057" s="280">
        <v>2</v>
      </c>
      <c r="D2057" s="280">
        <v>1</v>
      </c>
      <c r="E2057" s="280">
        <v>3</v>
      </c>
      <c r="F2057" s="281">
        <v>4.83</v>
      </c>
      <c r="G2057" s="281">
        <v>1.9</v>
      </c>
      <c r="H2057" s="281">
        <v>0.57499999999999996</v>
      </c>
      <c r="I2057" s="283">
        <f t="shared" si="86"/>
        <v>31.66</v>
      </c>
      <c r="J2057" s="284"/>
      <c r="K2057" s="356"/>
      <c r="L2057" s="356"/>
      <c r="M2057" s="356"/>
      <c r="N2057" s="357"/>
      <c r="O2057" s="357"/>
      <c r="P2057" s="357"/>
      <c r="Q2057" s="357"/>
      <c r="R2057" s="357"/>
      <c r="S2057" s="357"/>
      <c r="T2057" s="357"/>
      <c r="U2057" s="357"/>
      <c r="V2057" s="357"/>
      <c r="W2057" s="357"/>
      <c r="X2057" s="357"/>
      <c r="Y2057" s="357"/>
      <c r="Z2057" s="357"/>
      <c r="AA2057" s="357"/>
      <c r="AB2057" s="357"/>
      <c r="AC2057" s="357"/>
      <c r="AD2057" s="357"/>
    </row>
    <row r="2058" spans="1:30" s="358" customFormat="1" ht="23.25" hidden="1" customHeight="1">
      <c r="A2058" s="278"/>
      <c r="B2058" s="279" t="s">
        <v>144</v>
      </c>
      <c r="C2058" s="280">
        <v>1</v>
      </c>
      <c r="D2058" s="280">
        <v>1</v>
      </c>
      <c r="E2058" s="280">
        <v>1</v>
      </c>
      <c r="F2058" s="281">
        <v>27.164999999999999</v>
      </c>
      <c r="G2058" s="281">
        <v>1.8</v>
      </c>
      <c r="H2058" s="281">
        <v>0.57499999999999996</v>
      </c>
      <c r="I2058" s="283">
        <f t="shared" si="86"/>
        <v>28.12</v>
      </c>
      <c r="J2058" s="284"/>
      <c r="K2058" s="356"/>
      <c r="L2058" s="356"/>
      <c r="M2058" s="356"/>
      <c r="N2058" s="357"/>
      <c r="O2058" s="357"/>
      <c r="P2058" s="357"/>
      <c r="Q2058" s="357"/>
      <c r="R2058" s="357"/>
      <c r="S2058" s="357"/>
      <c r="T2058" s="357"/>
      <c r="U2058" s="357"/>
      <c r="V2058" s="357"/>
      <c r="W2058" s="357"/>
      <c r="X2058" s="357"/>
      <c r="Y2058" s="357"/>
      <c r="Z2058" s="357"/>
      <c r="AA2058" s="357"/>
      <c r="AB2058" s="357"/>
      <c r="AC2058" s="357"/>
      <c r="AD2058" s="357"/>
    </row>
    <row r="2059" spans="1:30" s="358" customFormat="1" ht="23.25" hidden="1" customHeight="1">
      <c r="A2059" s="278"/>
      <c r="B2059" s="279" t="s">
        <v>895</v>
      </c>
      <c r="C2059" s="280">
        <v>1</v>
      </c>
      <c r="D2059" s="280">
        <v>1</v>
      </c>
      <c r="E2059" s="280">
        <v>1</v>
      </c>
      <c r="F2059" s="281">
        <v>2.1</v>
      </c>
      <c r="G2059" s="281">
        <v>1.9</v>
      </c>
      <c r="H2059" s="281">
        <v>0.57499999999999996</v>
      </c>
      <c r="I2059" s="283">
        <f t="shared" si="86"/>
        <v>2.29</v>
      </c>
      <c r="J2059" s="284"/>
      <c r="K2059" s="356"/>
      <c r="L2059" s="356"/>
      <c r="M2059" s="356"/>
      <c r="N2059" s="357"/>
      <c r="O2059" s="357"/>
      <c r="P2059" s="357"/>
      <c r="Q2059" s="357"/>
      <c r="R2059" s="357"/>
      <c r="S2059" s="357"/>
      <c r="T2059" s="357"/>
      <c r="U2059" s="357"/>
      <c r="V2059" s="357"/>
      <c r="W2059" s="357"/>
      <c r="X2059" s="357"/>
      <c r="Y2059" s="357"/>
      <c r="Z2059" s="357"/>
      <c r="AA2059" s="357"/>
      <c r="AB2059" s="357"/>
      <c r="AC2059" s="357"/>
      <c r="AD2059" s="357"/>
    </row>
    <row r="2060" spans="1:30" s="358" customFormat="1" ht="23.25" hidden="1" customHeight="1">
      <c r="A2060" s="278"/>
      <c r="B2060" s="279" t="s">
        <v>539</v>
      </c>
      <c r="C2060" s="280">
        <v>1</v>
      </c>
      <c r="D2060" s="280">
        <v>1</v>
      </c>
      <c r="E2060" s="280">
        <v>2</v>
      </c>
      <c r="F2060" s="281">
        <v>4.2300000000000004</v>
      </c>
      <c r="G2060" s="281">
        <v>1.9</v>
      </c>
      <c r="H2060" s="281">
        <v>0.57499999999999996</v>
      </c>
      <c r="I2060" s="283">
        <f t="shared" si="86"/>
        <v>9.24</v>
      </c>
      <c r="J2060" s="284"/>
      <c r="K2060" s="356"/>
      <c r="L2060" s="356"/>
      <c r="M2060" s="356"/>
      <c r="N2060" s="357"/>
      <c r="O2060" s="357"/>
      <c r="P2060" s="357"/>
      <c r="Q2060" s="357"/>
      <c r="R2060" s="357"/>
      <c r="S2060" s="357"/>
      <c r="T2060" s="357"/>
      <c r="U2060" s="357"/>
      <c r="V2060" s="357"/>
      <c r="W2060" s="357"/>
      <c r="X2060" s="357"/>
      <c r="Y2060" s="357"/>
      <c r="Z2060" s="357"/>
      <c r="AA2060" s="357"/>
      <c r="AB2060" s="357"/>
      <c r="AC2060" s="357"/>
      <c r="AD2060" s="357"/>
    </row>
    <row r="2061" spans="1:30" s="358" customFormat="1" ht="23.25" hidden="1" customHeight="1">
      <c r="A2061" s="278"/>
      <c r="B2061" s="279" t="s">
        <v>897</v>
      </c>
      <c r="C2061" s="280">
        <v>1</v>
      </c>
      <c r="D2061" s="280">
        <v>1</v>
      </c>
      <c r="E2061" s="280">
        <v>1</v>
      </c>
      <c r="F2061" s="281">
        <v>4.2</v>
      </c>
      <c r="G2061" s="281">
        <v>3.53</v>
      </c>
      <c r="H2061" s="281">
        <v>0.57499999999999996</v>
      </c>
      <c r="I2061" s="283">
        <f t="shared" si="86"/>
        <v>8.52</v>
      </c>
      <c r="J2061" s="284"/>
      <c r="K2061" s="356"/>
      <c r="L2061" s="356"/>
      <c r="M2061" s="356"/>
      <c r="N2061" s="357"/>
      <c r="O2061" s="357"/>
      <c r="P2061" s="357"/>
      <c r="Q2061" s="357"/>
      <c r="R2061" s="357"/>
      <c r="S2061" s="357"/>
      <c r="T2061" s="357"/>
      <c r="U2061" s="357"/>
      <c r="V2061" s="357"/>
      <c r="W2061" s="357"/>
      <c r="X2061" s="357"/>
      <c r="Y2061" s="357"/>
      <c r="Z2061" s="357"/>
      <c r="AA2061" s="357"/>
      <c r="AB2061" s="357"/>
      <c r="AC2061" s="357"/>
      <c r="AD2061" s="357"/>
    </row>
    <row r="2062" spans="1:30" s="358" customFormat="1" ht="23.25" hidden="1" customHeight="1">
      <c r="A2062" s="278"/>
      <c r="B2062" s="279" t="s">
        <v>306</v>
      </c>
      <c r="C2062" s="280">
        <v>1</v>
      </c>
      <c r="D2062" s="280">
        <v>1</v>
      </c>
      <c r="E2062" s="280">
        <v>1</v>
      </c>
      <c r="F2062" s="281">
        <v>1.77</v>
      </c>
      <c r="G2062" s="281">
        <v>3.53</v>
      </c>
      <c r="H2062" s="281">
        <v>0.57499999999999996</v>
      </c>
      <c r="I2062" s="283">
        <f t="shared" si="86"/>
        <v>3.59</v>
      </c>
      <c r="J2062" s="284"/>
      <c r="K2062" s="356"/>
      <c r="L2062" s="356"/>
      <c r="M2062" s="356"/>
      <c r="N2062" s="357"/>
      <c r="O2062" s="357"/>
      <c r="P2062" s="357"/>
      <c r="Q2062" s="357"/>
      <c r="R2062" s="357"/>
      <c r="S2062" s="357"/>
      <c r="T2062" s="357"/>
      <c r="U2062" s="357"/>
      <c r="V2062" s="357"/>
      <c r="W2062" s="357"/>
      <c r="X2062" s="357"/>
      <c r="Y2062" s="357"/>
      <c r="Z2062" s="357"/>
      <c r="AA2062" s="357"/>
      <c r="AB2062" s="357"/>
      <c r="AC2062" s="357"/>
      <c r="AD2062" s="357"/>
    </row>
    <row r="2063" spans="1:30" s="358" customFormat="1" ht="23.25" hidden="1" customHeight="1">
      <c r="A2063" s="278"/>
      <c r="B2063" s="279" t="s">
        <v>898</v>
      </c>
      <c r="C2063" s="280">
        <v>1</v>
      </c>
      <c r="D2063" s="280">
        <v>1</v>
      </c>
      <c r="E2063" s="280">
        <v>1</v>
      </c>
      <c r="F2063" s="281">
        <v>2.97</v>
      </c>
      <c r="G2063" s="282">
        <v>2.2999999999999998</v>
      </c>
      <c r="H2063" s="281">
        <v>0.57499999999999996</v>
      </c>
      <c r="I2063" s="283">
        <f t="shared" si="86"/>
        <v>3.93</v>
      </c>
      <c r="J2063" s="284"/>
      <c r="K2063" s="356"/>
      <c r="L2063" s="356"/>
      <c r="M2063" s="356"/>
      <c r="N2063" s="357"/>
      <c r="O2063" s="357"/>
      <c r="P2063" s="357"/>
      <c r="Q2063" s="357"/>
      <c r="R2063" s="357"/>
      <c r="S2063" s="357"/>
      <c r="T2063" s="357"/>
      <c r="U2063" s="357"/>
      <c r="V2063" s="357"/>
      <c r="W2063" s="357"/>
      <c r="X2063" s="357"/>
      <c r="Y2063" s="357"/>
      <c r="Z2063" s="357"/>
      <c r="AA2063" s="357"/>
      <c r="AB2063" s="357"/>
      <c r="AC2063" s="357"/>
      <c r="AD2063" s="357"/>
    </row>
    <row r="2064" spans="1:30" s="358" customFormat="1" ht="23.25" hidden="1" customHeight="1">
      <c r="A2064" s="278"/>
      <c r="B2064" s="279" t="s">
        <v>899</v>
      </c>
      <c r="C2064" s="280">
        <v>1</v>
      </c>
      <c r="D2064" s="280">
        <v>2</v>
      </c>
      <c r="E2064" s="280">
        <v>2</v>
      </c>
      <c r="F2064" s="281">
        <v>9.125</v>
      </c>
      <c r="G2064" s="282">
        <v>2.8</v>
      </c>
      <c r="H2064" s="281">
        <v>0.57499999999999996</v>
      </c>
      <c r="I2064" s="283">
        <f t="shared" si="86"/>
        <v>58.77</v>
      </c>
      <c r="J2064" s="284"/>
      <c r="K2064" s="356"/>
      <c r="L2064" s="356"/>
      <c r="M2064" s="356"/>
      <c r="N2064" s="357"/>
      <c r="O2064" s="357"/>
      <c r="P2064" s="357"/>
      <c r="Q2064" s="357"/>
      <c r="R2064" s="357"/>
      <c r="S2064" s="357"/>
      <c r="T2064" s="357"/>
      <c r="U2064" s="357"/>
      <c r="V2064" s="357"/>
      <c r="W2064" s="357"/>
      <c r="X2064" s="357"/>
      <c r="Y2064" s="357"/>
      <c r="Z2064" s="357"/>
      <c r="AA2064" s="357"/>
      <c r="AB2064" s="357"/>
      <c r="AC2064" s="357"/>
      <c r="AD2064" s="357"/>
    </row>
    <row r="2065" spans="1:30" s="358" customFormat="1" ht="23.25" hidden="1" customHeight="1">
      <c r="A2065" s="278"/>
      <c r="B2065" s="279" t="s">
        <v>517</v>
      </c>
      <c r="C2065" s="280">
        <v>1</v>
      </c>
      <c r="D2065" s="280">
        <v>1</v>
      </c>
      <c r="E2065" s="280">
        <v>2</v>
      </c>
      <c r="F2065" s="281">
        <v>0.8</v>
      </c>
      <c r="G2065" s="282">
        <v>1.1499999999999999</v>
      </c>
      <c r="H2065" s="281">
        <v>0.57499999999999996</v>
      </c>
      <c r="I2065" s="283">
        <f t="shared" si="86"/>
        <v>1.06</v>
      </c>
      <c r="J2065" s="284"/>
      <c r="K2065" s="356"/>
      <c r="L2065" s="356"/>
      <c r="M2065" s="356"/>
      <c r="N2065" s="357"/>
      <c r="O2065" s="357"/>
      <c r="P2065" s="357"/>
      <c r="Q2065" s="357"/>
      <c r="R2065" s="357"/>
      <c r="S2065" s="357"/>
      <c r="T2065" s="357"/>
      <c r="U2065" s="357"/>
      <c r="V2065" s="357"/>
      <c r="W2065" s="357"/>
      <c r="X2065" s="357"/>
      <c r="Y2065" s="357"/>
      <c r="Z2065" s="357"/>
      <c r="AA2065" s="357"/>
      <c r="AB2065" s="357"/>
      <c r="AC2065" s="357"/>
      <c r="AD2065" s="357"/>
    </row>
    <row r="2066" spans="1:30" s="358" customFormat="1" ht="23.25" hidden="1" customHeight="1">
      <c r="A2066" s="278"/>
      <c r="B2066" s="279" t="s">
        <v>516</v>
      </c>
      <c r="C2066" s="280">
        <v>1</v>
      </c>
      <c r="D2066" s="280">
        <v>1</v>
      </c>
      <c r="E2066" s="280">
        <v>2</v>
      </c>
      <c r="F2066" s="281">
        <v>1.6850000000000001</v>
      </c>
      <c r="G2066" s="282">
        <v>1.1499999999999999</v>
      </c>
      <c r="H2066" s="281">
        <v>0.57499999999999996</v>
      </c>
      <c r="I2066" s="283">
        <f t="shared" si="86"/>
        <v>2.23</v>
      </c>
      <c r="J2066" s="284"/>
      <c r="K2066" s="356"/>
      <c r="L2066" s="356"/>
      <c r="M2066" s="356"/>
      <c r="N2066" s="357"/>
      <c r="O2066" s="357"/>
      <c r="P2066" s="357"/>
      <c r="Q2066" s="357"/>
      <c r="R2066" s="357"/>
      <c r="S2066" s="357"/>
      <c r="T2066" s="357"/>
      <c r="U2066" s="357"/>
      <c r="V2066" s="357"/>
      <c r="W2066" s="357"/>
      <c r="X2066" s="357"/>
      <c r="Y2066" s="357"/>
      <c r="Z2066" s="357"/>
      <c r="AA2066" s="357"/>
      <c r="AB2066" s="357"/>
      <c r="AC2066" s="357"/>
      <c r="AD2066" s="357"/>
    </row>
    <row r="2067" spans="1:30" s="358" customFormat="1" ht="23.25" hidden="1" customHeight="1">
      <c r="A2067" s="278"/>
      <c r="B2067" s="279" t="s">
        <v>537</v>
      </c>
      <c r="C2067" s="280">
        <v>1</v>
      </c>
      <c r="D2067" s="280">
        <v>1</v>
      </c>
      <c r="E2067" s="280">
        <v>3</v>
      </c>
      <c r="F2067" s="281">
        <v>2.5499999999999998</v>
      </c>
      <c r="G2067" s="282">
        <v>2.85</v>
      </c>
      <c r="H2067" s="281">
        <v>0.57499999999999996</v>
      </c>
      <c r="I2067" s="283">
        <f t="shared" si="86"/>
        <v>12.54</v>
      </c>
      <c r="J2067" s="284"/>
      <c r="K2067" s="356"/>
      <c r="L2067" s="356"/>
      <c r="M2067" s="356"/>
      <c r="N2067" s="357"/>
      <c r="O2067" s="357"/>
      <c r="P2067" s="357"/>
      <c r="Q2067" s="357"/>
      <c r="R2067" s="357"/>
      <c r="S2067" s="357"/>
      <c r="T2067" s="357"/>
      <c r="U2067" s="357"/>
      <c r="V2067" s="357"/>
      <c r="W2067" s="357"/>
      <c r="X2067" s="357"/>
      <c r="Y2067" s="357"/>
      <c r="Z2067" s="357"/>
      <c r="AA2067" s="357"/>
      <c r="AB2067" s="357"/>
      <c r="AC2067" s="357"/>
      <c r="AD2067" s="357"/>
    </row>
    <row r="2068" spans="1:30" s="360" customFormat="1" ht="23.25" hidden="1" customHeight="1">
      <c r="A2068" s="294"/>
      <c r="B2068" s="293" t="s">
        <v>305</v>
      </c>
      <c r="C2068" s="280">
        <v>1</v>
      </c>
      <c r="D2068" s="307">
        <v>1</v>
      </c>
      <c r="E2068" s="307">
        <v>1</v>
      </c>
      <c r="F2068" s="308">
        <v>0.86</v>
      </c>
      <c r="G2068" s="317">
        <v>0.93500000000000005</v>
      </c>
      <c r="H2068" s="281">
        <v>0.57499999999999996</v>
      </c>
      <c r="I2068" s="283">
        <f t="shared" si="86"/>
        <v>0.46</v>
      </c>
      <c r="J2068" s="294"/>
      <c r="K2068" s="359"/>
      <c r="L2068" s="359"/>
      <c r="M2068" s="359"/>
    </row>
    <row r="2069" spans="1:30" s="360" customFormat="1" ht="23.25" hidden="1" customHeight="1">
      <c r="A2069" s="294"/>
      <c r="B2069" s="293" t="s">
        <v>305</v>
      </c>
      <c r="C2069" s="280">
        <v>1</v>
      </c>
      <c r="D2069" s="307">
        <v>1</v>
      </c>
      <c r="E2069" s="307">
        <v>1</v>
      </c>
      <c r="F2069" s="308">
        <v>0.79</v>
      </c>
      <c r="G2069" s="317">
        <v>0.93500000000000005</v>
      </c>
      <c r="H2069" s="281">
        <v>0.57499999999999996</v>
      </c>
      <c r="I2069" s="283">
        <f t="shared" si="86"/>
        <v>0.42</v>
      </c>
      <c r="J2069" s="294"/>
      <c r="K2069" s="359"/>
      <c r="L2069" s="359"/>
      <c r="M2069" s="359"/>
      <c r="N2069" s="360">
        <f>1.02+0.695</f>
        <v>1.7150000000000001</v>
      </c>
      <c r="O2069" s="360">
        <f>N2069/2</f>
        <v>0.85750000000000004</v>
      </c>
    </row>
    <row r="2070" spans="1:30" s="358" customFormat="1" ht="23.25" hidden="1" customHeight="1">
      <c r="A2070" s="278"/>
      <c r="B2070" s="279" t="s">
        <v>536</v>
      </c>
      <c r="C2070" s="280">
        <v>1</v>
      </c>
      <c r="D2070" s="280">
        <v>1</v>
      </c>
      <c r="E2070" s="280">
        <v>4</v>
      </c>
      <c r="F2070" s="282">
        <v>1.43</v>
      </c>
      <c r="G2070" s="282">
        <v>2.9</v>
      </c>
      <c r="H2070" s="281">
        <v>0.57499999999999996</v>
      </c>
      <c r="I2070" s="283">
        <f t="shared" si="86"/>
        <v>9.5399999999999991</v>
      </c>
      <c r="J2070" s="284"/>
      <c r="K2070" s="356"/>
      <c r="L2070" s="356"/>
      <c r="M2070" s="356"/>
      <c r="N2070" s="357"/>
      <c r="O2070" s="357"/>
      <c r="P2070" s="357"/>
      <c r="Q2070" s="357"/>
      <c r="R2070" s="357"/>
      <c r="S2070" s="357"/>
      <c r="T2070" s="357"/>
      <c r="U2070" s="357"/>
      <c r="V2070" s="357"/>
      <c r="W2070" s="357"/>
      <c r="X2070" s="357"/>
      <c r="Y2070" s="357"/>
      <c r="Z2070" s="357"/>
      <c r="AA2070" s="357"/>
      <c r="AB2070" s="357"/>
      <c r="AC2070" s="357"/>
      <c r="AD2070" s="357"/>
    </row>
    <row r="2071" spans="1:30" s="358" customFormat="1" ht="23.25" hidden="1" customHeight="1">
      <c r="A2071" s="278"/>
      <c r="B2071" s="279" t="s">
        <v>535</v>
      </c>
      <c r="C2071" s="280">
        <v>1</v>
      </c>
      <c r="D2071" s="280">
        <v>1</v>
      </c>
      <c r="E2071" s="280">
        <v>1</v>
      </c>
      <c r="F2071" s="282">
        <v>5.81</v>
      </c>
      <c r="G2071" s="282">
        <v>1.55</v>
      </c>
      <c r="H2071" s="281">
        <v>0.57499999999999996</v>
      </c>
      <c r="I2071" s="283">
        <f t="shared" si="86"/>
        <v>5.18</v>
      </c>
      <c r="J2071" s="284"/>
      <c r="K2071" s="356"/>
      <c r="L2071" s="356"/>
      <c r="M2071" s="356"/>
      <c r="N2071" s="357">
        <f>6.53+5.089</f>
        <v>11.62</v>
      </c>
      <c r="O2071" s="357">
        <f>N2071/2</f>
        <v>5.81</v>
      </c>
      <c r="P2071" s="357"/>
      <c r="Q2071" s="357"/>
      <c r="R2071" s="357"/>
      <c r="S2071" s="357"/>
      <c r="T2071" s="357"/>
      <c r="U2071" s="357"/>
      <c r="V2071" s="357"/>
      <c r="W2071" s="357"/>
      <c r="X2071" s="357"/>
      <c r="Y2071" s="357"/>
      <c r="Z2071" s="357"/>
      <c r="AA2071" s="357"/>
      <c r="AB2071" s="357"/>
      <c r="AC2071" s="357"/>
      <c r="AD2071" s="357"/>
    </row>
    <row r="2072" spans="1:30" s="358" customFormat="1" ht="23.25" hidden="1" customHeight="1">
      <c r="A2072" s="278"/>
      <c r="B2072" s="279" t="s">
        <v>535</v>
      </c>
      <c r="C2072" s="280">
        <v>1</v>
      </c>
      <c r="D2072" s="280">
        <v>1</v>
      </c>
      <c r="E2072" s="280">
        <v>3</v>
      </c>
      <c r="F2072" s="281">
        <v>1.41</v>
      </c>
      <c r="G2072" s="281">
        <v>6.09</v>
      </c>
      <c r="H2072" s="281">
        <v>0.57499999999999996</v>
      </c>
      <c r="I2072" s="283">
        <f t="shared" si="86"/>
        <v>14.81</v>
      </c>
      <c r="J2072" s="284"/>
      <c r="K2072" s="356"/>
      <c r="L2072" s="356"/>
      <c r="M2072" s="356"/>
      <c r="N2072" s="357">
        <f>6.53+5.639</f>
        <v>12.17</v>
      </c>
      <c r="O2072" s="357">
        <f>N2072/2</f>
        <v>6.09</v>
      </c>
      <c r="P2072" s="357">
        <f>0.589+1.878+1.75</f>
        <v>4.22</v>
      </c>
      <c r="Q2072" s="357">
        <f>P2072/3</f>
        <v>1.41</v>
      </c>
      <c r="R2072" s="357"/>
      <c r="S2072" s="357"/>
      <c r="T2072" s="357"/>
      <c r="U2072" s="357"/>
      <c r="V2072" s="357"/>
      <c r="W2072" s="357"/>
      <c r="X2072" s="357"/>
      <c r="Y2072" s="357"/>
      <c r="Z2072" s="357"/>
      <c r="AA2072" s="357"/>
      <c r="AB2072" s="357"/>
      <c r="AC2072" s="357"/>
      <c r="AD2072" s="357"/>
    </row>
    <row r="2073" spans="1:30" s="358" customFormat="1" ht="23.25" hidden="1" customHeight="1">
      <c r="A2073" s="278"/>
      <c r="B2073" s="286"/>
      <c r="C2073" s="280"/>
      <c r="D2073" s="280"/>
      <c r="E2073" s="280"/>
      <c r="F2073" s="282"/>
      <c r="G2073" s="282"/>
      <c r="H2073" s="282"/>
      <c r="I2073" s="416">
        <f>SUM(I2040:I2072)</f>
        <v>583.71</v>
      </c>
      <c r="J2073" s="284"/>
      <c r="K2073" s="356"/>
      <c r="L2073" s="356"/>
      <c r="M2073" s="356"/>
      <c r="N2073" s="357"/>
      <c r="O2073" s="357"/>
      <c r="P2073" s="357"/>
      <c r="Q2073" s="357"/>
      <c r="R2073" s="357"/>
      <c r="S2073" s="357"/>
      <c r="T2073" s="357"/>
      <c r="U2073" s="357"/>
      <c r="V2073" s="357"/>
      <c r="W2073" s="357"/>
      <c r="X2073" s="357"/>
      <c r="Y2073" s="357"/>
      <c r="Z2073" s="357"/>
      <c r="AA2073" s="357"/>
      <c r="AB2073" s="357"/>
      <c r="AC2073" s="357"/>
      <c r="AD2073" s="357"/>
    </row>
    <row r="2074" spans="1:30" s="358" customFormat="1" ht="23.25" hidden="1" customHeight="1">
      <c r="A2074" s="278"/>
      <c r="B2074" s="286" t="s">
        <v>954</v>
      </c>
      <c r="C2074" s="280"/>
      <c r="D2074" s="280"/>
      <c r="E2074" s="280"/>
      <c r="F2074" s="282"/>
      <c r="G2074" s="282"/>
      <c r="H2074" s="282"/>
      <c r="I2074" s="416">
        <f>892-I2073</f>
        <v>308.29000000000002</v>
      </c>
      <c r="J2074" s="284"/>
      <c r="K2074" s="356"/>
      <c r="L2074" s="356"/>
      <c r="M2074" s="356"/>
      <c r="N2074" s="357"/>
      <c r="O2074" s="357"/>
      <c r="P2074" s="357"/>
      <c r="Q2074" s="357"/>
      <c r="R2074" s="357"/>
      <c r="S2074" s="357"/>
      <c r="T2074" s="357"/>
      <c r="U2074" s="357"/>
      <c r="V2074" s="357"/>
      <c r="W2074" s="357"/>
      <c r="X2074" s="357"/>
      <c r="Y2074" s="357"/>
      <c r="Z2074" s="357"/>
      <c r="AA2074" s="357"/>
      <c r="AB2074" s="357"/>
      <c r="AC2074" s="357"/>
      <c r="AD2074" s="357"/>
    </row>
    <row r="2075" spans="1:30" s="358" customFormat="1" ht="23.25" hidden="1" customHeight="1">
      <c r="A2075" s="278"/>
      <c r="B2075" s="286"/>
      <c r="C2075" s="280"/>
      <c r="D2075" s="280"/>
      <c r="E2075" s="280"/>
      <c r="F2075" s="282"/>
      <c r="G2075" s="282"/>
      <c r="H2075" s="415" t="s">
        <v>55</v>
      </c>
      <c r="I2075" s="416">
        <f>ROUNDUP(I2074,0)</f>
        <v>309</v>
      </c>
      <c r="J2075" s="287" t="s">
        <v>21</v>
      </c>
      <c r="K2075" s="361"/>
      <c r="L2075" s="361"/>
      <c r="M2075" s="361"/>
      <c r="N2075" s="357"/>
      <c r="O2075" s="357"/>
      <c r="P2075" s="357"/>
      <c r="Q2075" s="357"/>
      <c r="R2075" s="357"/>
      <c r="S2075" s="357"/>
      <c r="T2075" s="357"/>
      <c r="U2075" s="357"/>
      <c r="V2075" s="357"/>
      <c r="W2075" s="357"/>
      <c r="X2075" s="357"/>
      <c r="Y2075" s="357"/>
      <c r="Z2075" s="357"/>
      <c r="AA2075" s="357"/>
      <c r="AB2075" s="357"/>
      <c r="AC2075" s="357"/>
      <c r="AD2075" s="357"/>
    </row>
    <row r="2076" spans="1:30" s="4" customFormat="1" ht="23.25" customHeight="1">
      <c r="A2076" s="505"/>
      <c r="B2076" s="529"/>
      <c r="C2076" s="522"/>
      <c r="D2076" s="475"/>
      <c r="E2076" s="522"/>
      <c r="F2076" s="510"/>
      <c r="G2076" s="510"/>
      <c r="H2076" s="510"/>
      <c r="I2076" s="511"/>
      <c r="J2076" s="506"/>
      <c r="K2076" s="127"/>
      <c r="L2076" s="127"/>
      <c r="M2076" s="127"/>
      <c r="N2076" s="126"/>
      <c r="O2076" s="126"/>
      <c r="P2076" s="126"/>
      <c r="Q2076" s="126"/>
      <c r="R2076" s="126"/>
      <c r="S2076" s="126"/>
      <c r="T2076" s="126"/>
      <c r="U2076" s="126"/>
      <c r="V2076" s="126"/>
      <c r="W2076" s="126"/>
      <c r="X2076" s="126"/>
      <c r="Y2076" s="126"/>
      <c r="Z2076" s="126"/>
      <c r="AA2076" s="126"/>
      <c r="AB2076" s="126"/>
      <c r="AC2076" s="126"/>
      <c r="AD2076" s="126"/>
    </row>
    <row r="2077" spans="1:30" s="91" customFormat="1" ht="23.25" customHeight="1">
      <c r="A2077" s="278">
        <v>18.100000000000001</v>
      </c>
      <c r="B2077" s="530" t="s">
        <v>1265</v>
      </c>
      <c r="C2077" s="280"/>
      <c r="D2077" s="280"/>
      <c r="E2077" s="280"/>
      <c r="F2077" s="282"/>
      <c r="G2077" s="282"/>
      <c r="H2077" s="415"/>
      <c r="I2077" s="416"/>
      <c r="J2077" s="278"/>
      <c r="K2077" s="46"/>
      <c r="L2077" s="46"/>
      <c r="M2077" s="46"/>
    </row>
    <row r="2078" spans="1:30" s="91" customFormat="1" ht="54" customHeight="1">
      <c r="A2078" s="278"/>
      <c r="B2078" s="286" t="s">
        <v>538</v>
      </c>
      <c r="C2078" s="280"/>
      <c r="D2078" s="280"/>
      <c r="E2078" s="280"/>
      <c r="F2078" s="282"/>
      <c r="G2078" s="282"/>
      <c r="H2078" s="415"/>
      <c r="I2078" s="416"/>
      <c r="J2078" s="278"/>
      <c r="K2078" s="46"/>
      <c r="L2078" s="46"/>
      <c r="M2078" s="46"/>
    </row>
    <row r="2079" spans="1:30" s="6" customFormat="1">
      <c r="A2079" s="432"/>
      <c r="B2079" s="432" t="s">
        <v>900</v>
      </c>
      <c r="C2079" s="434"/>
      <c r="D2079" s="434"/>
      <c r="E2079" s="434"/>
      <c r="F2079" s="435"/>
      <c r="G2079" s="435"/>
      <c r="H2079" s="435"/>
      <c r="I2079" s="436"/>
      <c r="J2079" s="437"/>
    </row>
    <row r="2080" spans="1:30" s="6" customFormat="1">
      <c r="A2080" s="427"/>
      <c r="B2080" s="427" t="s">
        <v>901</v>
      </c>
      <c r="C2080" s="428">
        <v>1</v>
      </c>
      <c r="D2080" s="428">
        <v>1</v>
      </c>
      <c r="E2080" s="428">
        <v>3</v>
      </c>
      <c r="F2080" s="430">
        <v>9.6</v>
      </c>
      <c r="G2080" s="430"/>
      <c r="H2080" s="430">
        <v>0.6</v>
      </c>
      <c r="I2080" s="430">
        <f>PRODUCT(C2080:H2080)</f>
        <v>17.28</v>
      </c>
      <c r="J2080" s="431"/>
    </row>
    <row r="2081" spans="1:10" s="6" customFormat="1">
      <c r="A2081" s="427"/>
      <c r="B2081" s="427" t="s">
        <v>902</v>
      </c>
      <c r="C2081" s="428">
        <v>1</v>
      </c>
      <c r="D2081" s="428">
        <v>1</v>
      </c>
      <c r="E2081" s="428">
        <v>6</v>
      </c>
      <c r="F2081" s="430">
        <v>10.8</v>
      </c>
      <c r="G2081" s="430"/>
      <c r="H2081" s="430">
        <v>0.7</v>
      </c>
      <c r="I2081" s="430">
        <f t="shared" ref="I2081:I2099" si="87">PRODUCT(C2081:H2081)</f>
        <v>45.36</v>
      </c>
      <c r="J2081" s="431"/>
    </row>
    <row r="2082" spans="1:10" s="6" customFormat="1">
      <c r="A2082" s="427"/>
      <c r="B2082" s="427" t="s">
        <v>903</v>
      </c>
      <c r="C2082" s="428">
        <v>1</v>
      </c>
      <c r="D2082" s="428">
        <v>1</v>
      </c>
      <c r="E2082" s="428">
        <v>3</v>
      </c>
      <c r="F2082" s="430">
        <v>12</v>
      </c>
      <c r="G2082" s="430"/>
      <c r="H2082" s="430">
        <v>0.85</v>
      </c>
      <c r="I2082" s="430">
        <f t="shared" si="87"/>
        <v>30.6</v>
      </c>
      <c r="J2082" s="431"/>
    </row>
    <row r="2083" spans="1:10" s="6" customFormat="1">
      <c r="A2083" s="427"/>
      <c r="B2083" s="427" t="s">
        <v>904</v>
      </c>
      <c r="C2083" s="428">
        <v>1</v>
      </c>
      <c r="D2083" s="428">
        <v>1</v>
      </c>
      <c r="E2083" s="428">
        <v>1</v>
      </c>
      <c r="F2083" s="430">
        <v>14</v>
      </c>
      <c r="G2083" s="430"/>
      <c r="H2083" s="430">
        <v>0.9</v>
      </c>
      <c r="I2083" s="430">
        <f t="shared" si="87"/>
        <v>12.6</v>
      </c>
      <c r="J2083" s="431"/>
    </row>
    <row r="2084" spans="1:10" s="6" customFormat="1">
      <c r="A2084" s="427"/>
      <c r="B2084" s="427" t="s">
        <v>905</v>
      </c>
      <c r="C2084" s="428">
        <v>1</v>
      </c>
      <c r="D2084" s="428">
        <v>1</v>
      </c>
      <c r="E2084" s="428">
        <v>2</v>
      </c>
      <c r="F2084" s="430">
        <v>23.3</v>
      </c>
      <c r="G2084" s="430"/>
      <c r="H2084" s="430">
        <v>0.85</v>
      </c>
      <c r="I2084" s="430">
        <f t="shared" si="87"/>
        <v>39.61</v>
      </c>
      <c r="J2084" s="431"/>
    </row>
    <row r="2085" spans="1:10" s="6" customFormat="1">
      <c r="A2085" s="427"/>
      <c r="B2085" s="427" t="s">
        <v>908</v>
      </c>
      <c r="C2085" s="428">
        <v>1</v>
      </c>
      <c r="D2085" s="428">
        <v>1</v>
      </c>
      <c r="E2085" s="428">
        <v>2</v>
      </c>
      <c r="F2085" s="430">
        <v>12.8</v>
      </c>
      <c r="G2085" s="430"/>
      <c r="H2085" s="430">
        <v>0.85</v>
      </c>
      <c r="I2085" s="430">
        <f t="shared" si="87"/>
        <v>21.76</v>
      </c>
      <c r="J2085" s="431"/>
    </row>
    <row r="2086" spans="1:10" s="6" customFormat="1">
      <c r="A2086" s="427"/>
      <c r="B2086" s="427" t="s">
        <v>909</v>
      </c>
      <c r="C2086" s="428">
        <v>1</v>
      </c>
      <c r="D2086" s="428">
        <v>1</v>
      </c>
      <c r="E2086" s="428">
        <v>2</v>
      </c>
      <c r="F2086" s="430">
        <v>14</v>
      </c>
      <c r="G2086" s="430"/>
      <c r="H2086" s="430">
        <v>0.85</v>
      </c>
      <c r="I2086" s="430">
        <f t="shared" si="87"/>
        <v>23.8</v>
      </c>
      <c r="J2086" s="431"/>
    </row>
    <row r="2087" spans="1:10" s="6" customFormat="1">
      <c r="A2087" s="427"/>
      <c r="B2087" s="427" t="s">
        <v>910</v>
      </c>
      <c r="C2087" s="428">
        <v>1</v>
      </c>
      <c r="D2087" s="428">
        <v>1</v>
      </c>
      <c r="E2087" s="428">
        <v>1</v>
      </c>
      <c r="F2087" s="430">
        <v>25.2</v>
      </c>
      <c r="G2087" s="430"/>
      <c r="H2087" s="430">
        <v>0.85</v>
      </c>
      <c r="I2087" s="430">
        <f t="shared" si="87"/>
        <v>21.42</v>
      </c>
      <c r="J2087" s="431"/>
    </row>
    <row r="2088" spans="1:10" s="6" customFormat="1">
      <c r="A2088" s="427"/>
      <c r="B2088" s="427" t="s">
        <v>911</v>
      </c>
      <c r="C2088" s="428">
        <v>1</v>
      </c>
      <c r="D2088" s="428">
        <v>1</v>
      </c>
      <c r="E2088" s="428">
        <v>2</v>
      </c>
      <c r="F2088" s="430">
        <v>10</v>
      </c>
      <c r="G2088" s="430"/>
      <c r="H2088" s="430">
        <v>0.85</v>
      </c>
      <c r="I2088" s="430">
        <f t="shared" si="87"/>
        <v>17</v>
      </c>
      <c r="J2088" s="431"/>
    </row>
    <row r="2089" spans="1:10" s="6" customFormat="1">
      <c r="A2089" s="427"/>
      <c r="B2089" s="427" t="s">
        <v>911</v>
      </c>
      <c r="C2089" s="428">
        <v>1</v>
      </c>
      <c r="D2089" s="428">
        <v>1</v>
      </c>
      <c r="E2089" s="428">
        <v>2</v>
      </c>
      <c r="F2089" s="430">
        <v>13.8</v>
      </c>
      <c r="G2089" s="430"/>
      <c r="H2089" s="430">
        <v>0.85</v>
      </c>
      <c r="I2089" s="430">
        <f t="shared" si="87"/>
        <v>23.46</v>
      </c>
      <c r="J2089" s="431"/>
    </row>
    <row r="2090" spans="1:10" s="6" customFormat="1">
      <c r="A2090" s="427"/>
      <c r="B2090" s="427" t="s">
        <v>912</v>
      </c>
      <c r="C2090" s="428">
        <v>1</v>
      </c>
      <c r="D2090" s="428">
        <v>1</v>
      </c>
      <c r="E2090" s="428">
        <v>1</v>
      </c>
      <c r="F2090" s="430">
        <v>76.239999999999995</v>
      </c>
      <c r="G2090" s="430"/>
      <c r="H2090" s="430">
        <v>0.9</v>
      </c>
      <c r="I2090" s="430">
        <f t="shared" si="87"/>
        <v>68.62</v>
      </c>
      <c r="J2090" s="431"/>
    </row>
    <row r="2091" spans="1:10" s="6" customFormat="1">
      <c r="A2091" s="427"/>
      <c r="B2091" s="427" t="s">
        <v>915</v>
      </c>
      <c r="C2091" s="428">
        <v>1</v>
      </c>
      <c r="D2091" s="428">
        <v>1</v>
      </c>
      <c r="E2091" s="428">
        <v>1</v>
      </c>
      <c r="F2091" s="430">
        <v>24.4</v>
      </c>
      <c r="G2091" s="430"/>
      <c r="H2091" s="430">
        <v>0.85</v>
      </c>
      <c r="I2091" s="430">
        <f t="shared" si="87"/>
        <v>20.74</v>
      </c>
      <c r="J2091" s="431"/>
    </row>
    <row r="2092" spans="1:10" s="6" customFormat="1">
      <c r="A2092" s="427"/>
      <c r="B2092" s="427" t="s">
        <v>917</v>
      </c>
      <c r="C2092" s="428">
        <v>1</v>
      </c>
      <c r="D2092" s="428">
        <v>1</v>
      </c>
      <c r="E2092" s="428">
        <v>8</v>
      </c>
      <c r="F2092" s="430">
        <v>15.5</v>
      </c>
      <c r="G2092" s="430"/>
      <c r="H2092" s="430">
        <v>0.85</v>
      </c>
      <c r="I2092" s="430">
        <f t="shared" si="87"/>
        <v>105.4</v>
      </c>
      <c r="J2092" s="431"/>
    </row>
    <row r="2093" spans="1:10" s="6" customFormat="1">
      <c r="A2093" s="427"/>
      <c r="B2093" s="427" t="s">
        <v>918</v>
      </c>
      <c r="C2093" s="428">
        <v>1</v>
      </c>
      <c r="D2093" s="428">
        <v>1</v>
      </c>
      <c r="E2093" s="428">
        <v>3</v>
      </c>
      <c r="F2093" s="430">
        <v>20.399999999999999</v>
      </c>
      <c r="G2093" s="430"/>
      <c r="H2093" s="430">
        <v>0.85</v>
      </c>
      <c r="I2093" s="430">
        <f t="shared" si="87"/>
        <v>52.02</v>
      </c>
      <c r="J2093" s="431"/>
    </row>
    <row r="2094" spans="1:10" s="6" customFormat="1">
      <c r="A2094" s="427"/>
      <c r="B2094" s="427" t="s">
        <v>919</v>
      </c>
      <c r="C2094" s="428">
        <v>1</v>
      </c>
      <c r="D2094" s="428">
        <v>1</v>
      </c>
      <c r="E2094" s="428">
        <v>6</v>
      </c>
      <c r="F2094" s="430">
        <v>14.4</v>
      </c>
      <c r="G2094" s="430"/>
      <c r="H2094" s="430">
        <v>0.85</v>
      </c>
      <c r="I2094" s="430">
        <f t="shared" si="87"/>
        <v>73.44</v>
      </c>
      <c r="J2094" s="431"/>
    </row>
    <row r="2095" spans="1:10" s="6" customFormat="1">
      <c r="A2095" s="427"/>
      <c r="B2095" s="427" t="s">
        <v>920</v>
      </c>
      <c r="C2095" s="428">
        <v>1</v>
      </c>
      <c r="D2095" s="428">
        <v>1</v>
      </c>
      <c r="E2095" s="428">
        <v>1</v>
      </c>
      <c r="F2095" s="430">
        <v>71.099999999999994</v>
      </c>
      <c r="G2095" s="430"/>
      <c r="H2095" s="430">
        <v>0.9</v>
      </c>
      <c r="I2095" s="430">
        <f t="shared" si="87"/>
        <v>63.99</v>
      </c>
      <c r="J2095" s="431"/>
    </row>
    <row r="2096" spans="1:10" s="6" customFormat="1">
      <c r="A2096" s="427"/>
      <c r="B2096" s="427" t="s">
        <v>923</v>
      </c>
      <c r="C2096" s="428">
        <v>1</v>
      </c>
      <c r="D2096" s="428">
        <v>1</v>
      </c>
      <c r="E2096" s="428">
        <v>1</v>
      </c>
      <c r="F2096" s="430">
        <v>31.75</v>
      </c>
      <c r="G2096" s="430"/>
      <c r="H2096" s="430">
        <v>0.9</v>
      </c>
      <c r="I2096" s="430">
        <f t="shared" si="87"/>
        <v>28.58</v>
      </c>
      <c r="J2096" s="431"/>
    </row>
    <row r="2097" spans="1:18" s="6" customFormat="1">
      <c r="A2097" s="427"/>
      <c r="B2097" s="427" t="s">
        <v>925</v>
      </c>
      <c r="C2097" s="428">
        <v>1</v>
      </c>
      <c r="D2097" s="428">
        <v>1</v>
      </c>
      <c r="E2097" s="428">
        <v>3</v>
      </c>
      <c r="F2097" s="430">
        <v>14.8</v>
      </c>
      <c r="G2097" s="430"/>
      <c r="H2097" s="430">
        <v>0.85</v>
      </c>
      <c r="I2097" s="430">
        <f t="shared" si="87"/>
        <v>37.74</v>
      </c>
      <c r="J2097" s="431"/>
    </row>
    <row r="2098" spans="1:18" s="6" customFormat="1">
      <c r="A2098" s="427"/>
      <c r="B2098" s="427" t="s">
        <v>926</v>
      </c>
      <c r="C2098" s="428">
        <v>1</v>
      </c>
      <c r="D2098" s="428">
        <v>1</v>
      </c>
      <c r="E2098" s="428">
        <v>3</v>
      </c>
      <c r="F2098" s="430">
        <v>20.2</v>
      </c>
      <c r="G2098" s="430"/>
      <c r="H2098" s="430">
        <v>0.85</v>
      </c>
      <c r="I2098" s="430">
        <f t="shared" si="87"/>
        <v>51.51</v>
      </c>
      <c r="J2098" s="431"/>
    </row>
    <row r="2099" spans="1:18" s="6" customFormat="1">
      <c r="A2099" s="427"/>
      <c r="B2099" s="427" t="s">
        <v>928</v>
      </c>
      <c r="C2099" s="428">
        <v>1</v>
      </c>
      <c r="D2099" s="428">
        <v>1</v>
      </c>
      <c r="E2099" s="428">
        <v>1</v>
      </c>
      <c r="F2099" s="430">
        <v>16.68</v>
      </c>
      <c r="G2099" s="430"/>
      <c r="H2099" s="430">
        <v>0.6</v>
      </c>
      <c r="I2099" s="430">
        <f t="shared" si="87"/>
        <v>10.01</v>
      </c>
      <c r="J2099" s="431"/>
    </row>
    <row r="2100" spans="1:18" s="6" customFormat="1">
      <c r="A2100" s="427"/>
      <c r="B2100" s="427" t="s">
        <v>929</v>
      </c>
      <c r="C2100" s="428"/>
      <c r="D2100" s="428"/>
      <c r="E2100" s="428"/>
      <c r="F2100" s="430"/>
      <c r="G2100" s="430"/>
      <c r="H2100" s="430"/>
      <c r="I2100" s="430"/>
      <c r="J2100" s="431"/>
    </row>
    <row r="2101" spans="1:18" s="6" customFormat="1">
      <c r="A2101" s="427"/>
      <c r="B2101" s="432" t="s">
        <v>934</v>
      </c>
      <c r="C2101" s="428"/>
      <c r="D2101" s="428"/>
      <c r="E2101" s="428"/>
      <c r="F2101" s="430"/>
      <c r="G2101" s="430"/>
      <c r="H2101" s="430"/>
      <c r="I2101" s="433"/>
      <c r="J2101" s="431"/>
    </row>
    <row r="2102" spans="1:18" s="6" customFormat="1">
      <c r="A2102" s="427"/>
      <c r="B2102" s="427" t="s">
        <v>955</v>
      </c>
      <c r="C2102" s="428">
        <v>1</v>
      </c>
      <c r="D2102" s="428">
        <v>1</v>
      </c>
      <c r="E2102" s="428">
        <v>1</v>
      </c>
      <c r="F2102" s="429">
        <v>217.35599999999999</v>
      </c>
      <c r="G2102" s="430"/>
      <c r="H2102" s="430">
        <v>0.4</v>
      </c>
      <c r="I2102" s="430">
        <f t="shared" ref="I2102:I2108" si="88">PRODUCT(C2102:H2102)</f>
        <v>86.94</v>
      </c>
      <c r="J2102" s="431"/>
      <c r="K2102" s="164" t="s">
        <v>930</v>
      </c>
      <c r="L2102" s="166"/>
      <c r="M2102" s="166"/>
      <c r="N2102" s="166"/>
      <c r="O2102" s="167"/>
      <c r="P2102" s="167"/>
      <c r="Q2102" s="167"/>
      <c r="R2102" s="167"/>
    </row>
    <row r="2103" spans="1:18" s="6" customFormat="1">
      <c r="A2103" s="427"/>
      <c r="B2103" s="432" t="s">
        <v>956</v>
      </c>
      <c r="C2103" s="428"/>
      <c r="D2103" s="428"/>
      <c r="E2103" s="428"/>
      <c r="F2103" s="429"/>
      <c r="G2103" s="430"/>
      <c r="H2103" s="430"/>
      <c r="I2103" s="430"/>
      <c r="J2103" s="431"/>
      <c r="K2103" s="165" t="s">
        <v>931</v>
      </c>
      <c r="L2103" s="166">
        <v>1</v>
      </c>
      <c r="M2103" s="166">
        <v>1</v>
      </c>
      <c r="N2103" s="166">
        <v>79</v>
      </c>
      <c r="O2103" s="167">
        <v>0.3</v>
      </c>
      <c r="P2103" s="167">
        <v>0.45</v>
      </c>
      <c r="Q2103" s="167">
        <v>1.65</v>
      </c>
      <c r="R2103" s="167">
        <f t="shared" ref="R2103:R2109" si="89">PRODUCT(L2103:Q2103)</f>
        <v>17.600000000000001</v>
      </c>
    </row>
    <row r="2104" spans="1:18" s="6" customFormat="1">
      <c r="A2104" s="427"/>
      <c r="B2104" s="427" t="s">
        <v>957</v>
      </c>
      <c r="C2104" s="428">
        <v>1</v>
      </c>
      <c r="D2104" s="428">
        <v>1</v>
      </c>
      <c r="E2104" s="428">
        <v>2</v>
      </c>
      <c r="F2104" s="429">
        <v>13.24</v>
      </c>
      <c r="G2104" s="430"/>
      <c r="H2104" s="430">
        <v>0.4</v>
      </c>
      <c r="I2104" s="430">
        <f t="shared" si="88"/>
        <v>10.59</v>
      </c>
      <c r="J2104" s="431"/>
      <c r="K2104" s="165" t="s">
        <v>75</v>
      </c>
      <c r="L2104" s="166">
        <v>1</v>
      </c>
      <c r="M2104" s="166">
        <v>1</v>
      </c>
      <c r="N2104" s="166">
        <v>54</v>
      </c>
      <c r="O2104" s="167">
        <v>0.3</v>
      </c>
      <c r="P2104" s="167">
        <v>0.6</v>
      </c>
      <c r="Q2104" s="167">
        <v>1.65</v>
      </c>
      <c r="R2104" s="167">
        <f t="shared" si="89"/>
        <v>16.04</v>
      </c>
    </row>
    <row r="2105" spans="1:18" s="6" customFormat="1">
      <c r="A2105" s="427"/>
      <c r="B2105" s="427" t="s">
        <v>958</v>
      </c>
      <c r="C2105" s="428">
        <v>1</v>
      </c>
      <c r="D2105" s="428">
        <v>1</v>
      </c>
      <c r="E2105" s="428">
        <v>2</v>
      </c>
      <c r="F2105" s="429">
        <v>9.17</v>
      </c>
      <c r="G2105" s="430"/>
      <c r="H2105" s="430">
        <v>0.4</v>
      </c>
      <c r="I2105" s="430">
        <f t="shared" si="88"/>
        <v>7.34</v>
      </c>
      <c r="J2105" s="431"/>
      <c r="K2105" s="165" t="s">
        <v>76</v>
      </c>
      <c r="L2105" s="166">
        <v>1</v>
      </c>
      <c r="M2105" s="166">
        <v>1</v>
      </c>
      <c r="N2105" s="166">
        <v>3</v>
      </c>
      <c r="O2105" s="167">
        <v>0.3</v>
      </c>
      <c r="P2105" s="167">
        <v>0.6</v>
      </c>
      <c r="Q2105" s="167">
        <v>1.65</v>
      </c>
      <c r="R2105" s="167">
        <f t="shared" si="89"/>
        <v>0.89</v>
      </c>
    </row>
    <row r="2106" spans="1:18" s="6" customFormat="1">
      <c r="A2106" s="427"/>
      <c r="B2106" s="427" t="s">
        <v>89</v>
      </c>
      <c r="C2106" s="428">
        <v>1</v>
      </c>
      <c r="D2106" s="428">
        <v>1</v>
      </c>
      <c r="E2106" s="428">
        <v>2</v>
      </c>
      <c r="F2106" s="429">
        <v>16.37</v>
      </c>
      <c r="G2106" s="430"/>
      <c r="H2106" s="430">
        <v>0.4</v>
      </c>
      <c r="I2106" s="430">
        <f t="shared" si="88"/>
        <v>13.1</v>
      </c>
      <c r="J2106" s="431"/>
      <c r="K2106" s="165" t="s">
        <v>485</v>
      </c>
      <c r="L2106" s="166">
        <v>1</v>
      </c>
      <c r="M2106" s="166">
        <v>1</v>
      </c>
      <c r="N2106" s="166">
        <v>7</v>
      </c>
      <c r="O2106" s="167">
        <v>0.3</v>
      </c>
      <c r="P2106" s="167">
        <v>0.75</v>
      </c>
      <c r="Q2106" s="167">
        <v>1.65</v>
      </c>
      <c r="R2106" s="167">
        <f t="shared" si="89"/>
        <v>2.6</v>
      </c>
    </row>
    <row r="2107" spans="1:18" s="6" customFormat="1">
      <c r="A2107" s="427"/>
      <c r="B2107" s="427" t="s">
        <v>959</v>
      </c>
      <c r="C2107" s="428">
        <v>1</v>
      </c>
      <c r="D2107" s="428">
        <v>1</v>
      </c>
      <c r="E2107" s="428">
        <v>2</v>
      </c>
      <c r="F2107" s="429">
        <v>14.7</v>
      </c>
      <c r="G2107" s="430"/>
      <c r="H2107" s="430">
        <v>0.4</v>
      </c>
      <c r="I2107" s="430">
        <f t="shared" si="88"/>
        <v>11.76</v>
      </c>
      <c r="J2107" s="431"/>
      <c r="K2107" s="165" t="s">
        <v>487</v>
      </c>
      <c r="L2107" s="166">
        <v>1</v>
      </c>
      <c r="M2107" s="166">
        <v>1</v>
      </c>
      <c r="N2107" s="166">
        <v>1</v>
      </c>
      <c r="O2107" s="167">
        <v>0.38</v>
      </c>
      <c r="P2107" s="167">
        <v>0.75</v>
      </c>
      <c r="Q2107" s="167">
        <v>1.65</v>
      </c>
      <c r="R2107" s="167">
        <f t="shared" si="89"/>
        <v>0.47</v>
      </c>
    </row>
    <row r="2108" spans="1:18" s="6" customFormat="1">
      <c r="A2108" s="427"/>
      <c r="B2108" s="427" t="s">
        <v>88</v>
      </c>
      <c r="C2108" s="428">
        <v>1</v>
      </c>
      <c r="D2108" s="428">
        <v>1</v>
      </c>
      <c r="E2108" s="428">
        <v>2</v>
      </c>
      <c r="F2108" s="429">
        <v>14.77</v>
      </c>
      <c r="G2108" s="430"/>
      <c r="H2108" s="430">
        <v>0.4</v>
      </c>
      <c r="I2108" s="433">
        <f t="shared" si="88"/>
        <v>11.82</v>
      </c>
      <c r="J2108" s="431"/>
      <c r="K2108" s="165" t="s">
        <v>932</v>
      </c>
      <c r="L2108" s="166">
        <v>1</v>
      </c>
      <c r="M2108" s="166">
        <v>1</v>
      </c>
      <c r="N2108" s="166">
        <v>2</v>
      </c>
      <c r="O2108" s="167">
        <v>9.92</v>
      </c>
      <c r="P2108" s="167">
        <v>0.23</v>
      </c>
      <c r="Q2108" s="167">
        <v>1.65</v>
      </c>
      <c r="R2108" s="167">
        <f t="shared" si="89"/>
        <v>7.53</v>
      </c>
    </row>
    <row r="2109" spans="1:18" s="6" customFormat="1">
      <c r="A2109" s="427"/>
      <c r="B2109" s="427" t="s">
        <v>960</v>
      </c>
      <c r="C2109" s="428">
        <v>1</v>
      </c>
      <c r="D2109" s="428">
        <v>1</v>
      </c>
      <c r="E2109" s="428">
        <v>2</v>
      </c>
      <c r="F2109" s="429">
        <v>6.8</v>
      </c>
      <c r="G2109" s="430"/>
      <c r="H2109" s="430">
        <v>0.4</v>
      </c>
      <c r="I2109" s="430">
        <f t="shared" ref="I2109:I2126" si="90">PRODUCT(C2109:H2109)</f>
        <v>5.44</v>
      </c>
      <c r="J2109" s="431"/>
      <c r="K2109" s="165" t="s">
        <v>933</v>
      </c>
      <c r="L2109" s="166">
        <v>1</v>
      </c>
      <c r="M2109" s="166">
        <v>1</v>
      </c>
      <c r="N2109" s="166">
        <v>1</v>
      </c>
      <c r="O2109" s="167">
        <v>11.52</v>
      </c>
      <c r="P2109" s="167">
        <v>0.23</v>
      </c>
      <c r="Q2109" s="167">
        <v>1.65</v>
      </c>
      <c r="R2109" s="167">
        <f t="shared" si="89"/>
        <v>4.37</v>
      </c>
    </row>
    <row r="2110" spans="1:18" s="6" customFormat="1">
      <c r="A2110" s="427"/>
      <c r="B2110" s="427" t="s">
        <v>513</v>
      </c>
      <c r="C2110" s="428">
        <v>1</v>
      </c>
      <c r="D2110" s="428">
        <v>1</v>
      </c>
      <c r="E2110" s="428">
        <v>2</v>
      </c>
      <c r="F2110" s="429">
        <v>10</v>
      </c>
      <c r="G2110" s="430"/>
      <c r="H2110" s="430">
        <v>0.4</v>
      </c>
      <c r="I2110" s="430">
        <f t="shared" si="90"/>
        <v>8</v>
      </c>
      <c r="J2110" s="431"/>
    </row>
    <row r="2111" spans="1:18" s="6" customFormat="1">
      <c r="A2111" s="427"/>
      <c r="B2111" s="427" t="s">
        <v>961</v>
      </c>
      <c r="C2111" s="428">
        <v>1</v>
      </c>
      <c r="D2111" s="428">
        <v>1</v>
      </c>
      <c r="E2111" s="428">
        <v>2</v>
      </c>
      <c r="F2111" s="429">
        <v>14.1</v>
      </c>
      <c r="G2111" s="430"/>
      <c r="H2111" s="430">
        <v>0.4</v>
      </c>
      <c r="I2111" s="430">
        <f t="shared" si="90"/>
        <v>11.28</v>
      </c>
      <c r="J2111" s="431"/>
    </row>
    <row r="2112" spans="1:18" s="6" customFormat="1">
      <c r="A2112" s="427"/>
      <c r="B2112" s="427" t="s">
        <v>962</v>
      </c>
      <c r="C2112" s="428">
        <v>1</v>
      </c>
      <c r="D2112" s="428">
        <v>1</v>
      </c>
      <c r="E2112" s="428">
        <v>2</v>
      </c>
      <c r="F2112" s="429">
        <v>7.24</v>
      </c>
      <c r="G2112" s="430"/>
      <c r="H2112" s="430">
        <v>0.4</v>
      </c>
      <c r="I2112" s="430">
        <f t="shared" si="90"/>
        <v>5.79</v>
      </c>
      <c r="J2112" s="431"/>
    </row>
    <row r="2113" spans="1:10" s="6" customFormat="1">
      <c r="A2113" s="427"/>
      <c r="B2113" s="432" t="s">
        <v>963</v>
      </c>
      <c r="C2113" s="428"/>
      <c r="D2113" s="428"/>
      <c r="E2113" s="428"/>
      <c r="F2113" s="429"/>
      <c r="G2113" s="430"/>
      <c r="H2113" s="430"/>
      <c r="I2113" s="430"/>
      <c r="J2113" s="431"/>
    </row>
    <row r="2114" spans="1:10" s="6" customFormat="1">
      <c r="A2114" s="427"/>
      <c r="B2114" s="427" t="s">
        <v>964</v>
      </c>
      <c r="C2114" s="428">
        <v>2</v>
      </c>
      <c r="D2114" s="428">
        <v>1</v>
      </c>
      <c r="E2114" s="428">
        <v>4</v>
      </c>
      <c r="F2114" s="429">
        <v>17.559999999999999</v>
      </c>
      <c r="G2114" s="430"/>
      <c r="H2114" s="430">
        <v>0.4</v>
      </c>
      <c r="I2114" s="430">
        <f t="shared" si="90"/>
        <v>56.19</v>
      </c>
      <c r="J2114" s="431"/>
    </row>
    <row r="2115" spans="1:10" s="6" customFormat="1">
      <c r="A2115" s="427"/>
      <c r="B2115" s="427" t="s">
        <v>88</v>
      </c>
      <c r="C2115" s="428">
        <v>2</v>
      </c>
      <c r="D2115" s="428">
        <v>1</v>
      </c>
      <c r="E2115" s="428">
        <v>4</v>
      </c>
      <c r="F2115" s="429">
        <v>17.63</v>
      </c>
      <c r="G2115" s="430"/>
      <c r="H2115" s="430">
        <v>0.4</v>
      </c>
      <c r="I2115" s="430">
        <f t="shared" si="90"/>
        <v>56.42</v>
      </c>
      <c r="J2115" s="431"/>
    </row>
    <row r="2116" spans="1:10" s="6" customFormat="1">
      <c r="A2116" s="427"/>
      <c r="B2116" s="427" t="s">
        <v>957</v>
      </c>
      <c r="C2116" s="428">
        <v>2</v>
      </c>
      <c r="D2116" s="428">
        <v>1</v>
      </c>
      <c r="E2116" s="428">
        <v>4</v>
      </c>
      <c r="F2116" s="429">
        <v>16.84</v>
      </c>
      <c r="G2116" s="430"/>
      <c r="H2116" s="430">
        <v>0.4</v>
      </c>
      <c r="I2116" s="430">
        <f t="shared" si="90"/>
        <v>53.89</v>
      </c>
      <c r="J2116" s="431"/>
    </row>
    <row r="2117" spans="1:10" s="6" customFormat="1">
      <c r="A2117" s="427"/>
      <c r="B2117" s="427" t="s">
        <v>965</v>
      </c>
      <c r="C2117" s="428">
        <v>2</v>
      </c>
      <c r="D2117" s="428">
        <v>1</v>
      </c>
      <c r="E2117" s="428">
        <v>1</v>
      </c>
      <c r="F2117" s="429">
        <v>3.3849999999999998</v>
      </c>
      <c r="G2117" s="430"/>
      <c r="H2117" s="430">
        <v>0.4</v>
      </c>
      <c r="I2117" s="430">
        <f t="shared" si="90"/>
        <v>2.71</v>
      </c>
      <c r="J2117" s="431"/>
    </row>
    <row r="2118" spans="1:10" s="6" customFormat="1">
      <c r="A2118" s="427"/>
      <c r="B2118" s="427" t="s">
        <v>93</v>
      </c>
      <c r="C2118" s="428">
        <v>2</v>
      </c>
      <c r="D2118" s="428">
        <v>1</v>
      </c>
      <c r="E2118" s="428">
        <v>1</v>
      </c>
      <c r="F2118" s="429">
        <v>1.2649999999999999</v>
      </c>
      <c r="G2118" s="430"/>
      <c r="H2118" s="430">
        <v>0.4</v>
      </c>
      <c r="I2118" s="430">
        <f t="shared" si="90"/>
        <v>1.01</v>
      </c>
      <c r="J2118" s="431"/>
    </row>
    <row r="2119" spans="1:10" s="6" customFormat="1">
      <c r="A2119" s="427"/>
      <c r="B2119" s="427" t="s">
        <v>966</v>
      </c>
      <c r="C2119" s="428">
        <v>2</v>
      </c>
      <c r="D2119" s="428">
        <v>1</v>
      </c>
      <c r="E2119" s="428">
        <v>4</v>
      </c>
      <c r="F2119" s="429">
        <v>9.57</v>
      </c>
      <c r="G2119" s="430"/>
      <c r="H2119" s="430">
        <v>0.4</v>
      </c>
      <c r="I2119" s="430">
        <f t="shared" si="90"/>
        <v>30.62</v>
      </c>
      <c r="J2119" s="431"/>
    </row>
    <row r="2120" spans="1:10" s="6" customFormat="1">
      <c r="A2120" s="427"/>
      <c r="B2120" s="427" t="s">
        <v>967</v>
      </c>
      <c r="C2120" s="428">
        <v>1</v>
      </c>
      <c r="D2120" s="428">
        <v>1</v>
      </c>
      <c r="E2120" s="428">
        <v>6</v>
      </c>
      <c r="F2120" s="429">
        <v>13.46</v>
      </c>
      <c r="G2120" s="430"/>
      <c r="H2120" s="430">
        <v>0.4</v>
      </c>
      <c r="I2120" s="430">
        <f t="shared" si="90"/>
        <v>32.299999999999997</v>
      </c>
      <c r="J2120" s="431"/>
    </row>
    <row r="2121" spans="1:10" s="6" customFormat="1">
      <c r="A2121" s="427"/>
      <c r="B2121" s="427" t="s">
        <v>968</v>
      </c>
      <c r="C2121" s="428">
        <v>1</v>
      </c>
      <c r="D2121" s="428">
        <v>1</v>
      </c>
      <c r="E2121" s="428">
        <v>2</v>
      </c>
      <c r="F2121" s="429">
        <v>9</v>
      </c>
      <c r="G2121" s="430"/>
      <c r="H2121" s="430">
        <v>0.4</v>
      </c>
      <c r="I2121" s="430">
        <f t="shared" si="90"/>
        <v>7.2</v>
      </c>
      <c r="J2121" s="431"/>
    </row>
    <row r="2122" spans="1:10" s="6" customFormat="1">
      <c r="A2122" s="427"/>
      <c r="B2122" s="427" t="s">
        <v>969</v>
      </c>
      <c r="C2122" s="428">
        <v>1</v>
      </c>
      <c r="D2122" s="428">
        <v>1</v>
      </c>
      <c r="E2122" s="428">
        <v>2</v>
      </c>
      <c r="F2122" s="429">
        <v>8</v>
      </c>
      <c r="G2122" s="430"/>
      <c r="H2122" s="430">
        <v>0.4</v>
      </c>
      <c r="I2122" s="430">
        <f t="shared" si="90"/>
        <v>6.4</v>
      </c>
      <c r="J2122" s="431"/>
    </row>
    <row r="2123" spans="1:10" s="6" customFormat="1">
      <c r="A2123" s="427"/>
      <c r="B2123" s="427" t="s">
        <v>970</v>
      </c>
      <c r="C2123" s="428">
        <v>1</v>
      </c>
      <c r="D2123" s="428">
        <v>1</v>
      </c>
      <c r="E2123" s="428">
        <v>1</v>
      </c>
      <c r="F2123" s="429">
        <v>7.61</v>
      </c>
      <c r="G2123" s="430"/>
      <c r="H2123" s="430">
        <v>0.4</v>
      </c>
      <c r="I2123" s="430">
        <f t="shared" si="90"/>
        <v>3.04</v>
      </c>
      <c r="J2123" s="431"/>
    </row>
    <row r="2124" spans="1:10" s="6" customFormat="1">
      <c r="A2124" s="427"/>
      <c r="B2124" s="427" t="s">
        <v>971</v>
      </c>
      <c r="C2124" s="428">
        <v>1</v>
      </c>
      <c r="D2124" s="428">
        <v>1</v>
      </c>
      <c r="E2124" s="428">
        <v>1</v>
      </c>
      <c r="F2124" s="429">
        <v>6.61</v>
      </c>
      <c r="G2124" s="430"/>
      <c r="H2124" s="430">
        <v>0.4</v>
      </c>
      <c r="I2124" s="433">
        <f t="shared" si="90"/>
        <v>2.64</v>
      </c>
      <c r="J2124" s="431"/>
    </row>
    <row r="2125" spans="1:10" s="6" customFormat="1">
      <c r="A2125" s="427"/>
      <c r="B2125" s="427" t="s">
        <v>969</v>
      </c>
      <c r="C2125" s="428">
        <v>1</v>
      </c>
      <c r="D2125" s="428">
        <v>1</v>
      </c>
      <c r="E2125" s="428">
        <v>1</v>
      </c>
      <c r="F2125" s="429">
        <v>7.27</v>
      </c>
      <c r="G2125" s="430"/>
      <c r="H2125" s="430">
        <v>0.4</v>
      </c>
      <c r="I2125" s="433">
        <f t="shared" si="90"/>
        <v>2.91</v>
      </c>
      <c r="J2125" s="431"/>
    </row>
    <row r="2126" spans="1:10" s="6" customFormat="1">
      <c r="A2126" s="427"/>
      <c r="B2126" s="432" t="s">
        <v>907</v>
      </c>
      <c r="C2126" s="428">
        <v>1</v>
      </c>
      <c r="D2126" s="428">
        <v>1</v>
      </c>
      <c r="E2126" s="428">
        <v>1</v>
      </c>
      <c r="F2126" s="430">
        <v>6.47</v>
      </c>
      <c r="G2126" s="430"/>
      <c r="H2126" s="430">
        <v>0.4</v>
      </c>
      <c r="I2126" s="430">
        <f t="shared" si="90"/>
        <v>2.59</v>
      </c>
      <c r="J2126" s="431"/>
    </row>
    <row r="2127" spans="1:10" s="6" customFormat="1">
      <c r="A2127" s="427"/>
      <c r="B2127" s="427" t="s">
        <v>972</v>
      </c>
      <c r="C2127" s="428">
        <v>1</v>
      </c>
      <c r="D2127" s="428">
        <v>1</v>
      </c>
      <c r="E2127" s="428">
        <v>2</v>
      </c>
      <c r="F2127" s="430">
        <v>12.26</v>
      </c>
      <c r="G2127" s="430"/>
      <c r="H2127" s="430">
        <v>0.4</v>
      </c>
      <c r="I2127" s="430">
        <f t="shared" ref="I2127:I2132" si="91">PRODUCT(C2127:H2127)</f>
        <v>9.81</v>
      </c>
      <c r="J2127" s="431"/>
    </row>
    <row r="2128" spans="1:10" s="6" customFormat="1">
      <c r="A2128" s="427"/>
      <c r="B2128" s="427" t="s">
        <v>969</v>
      </c>
      <c r="C2128" s="428">
        <v>1</v>
      </c>
      <c r="D2128" s="428">
        <v>1</v>
      </c>
      <c r="E2128" s="428">
        <v>1</v>
      </c>
      <c r="F2128" s="430">
        <v>10.6</v>
      </c>
      <c r="G2128" s="430"/>
      <c r="H2128" s="430">
        <v>0.4</v>
      </c>
      <c r="I2128" s="430">
        <f t="shared" si="91"/>
        <v>4.24</v>
      </c>
      <c r="J2128" s="431"/>
    </row>
    <row r="2129" spans="1:10" s="6" customFormat="1">
      <c r="A2129" s="427"/>
      <c r="B2129" s="427" t="s">
        <v>961</v>
      </c>
      <c r="C2129" s="428">
        <v>1</v>
      </c>
      <c r="D2129" s="428">
        <v>1</v>
      </c>
      <c r="E2129" s="428">
        <v>1</v>
      </c>
      <c r="F2129" s="430">
        <v>15.46</v>
      </c>
      <c r="G2129" s="430"/>
      <c r="H2129" s="430">
        <v>0.4</v>
      </c>
      <c r="I2129" s="430">
        <f t="shared" si="91"/>
        <v>6.18</v>
      </c>
      <c r="J2129" s="431"/>
    </row>
    <row r="2130" spans="1:10" s="6" customFormat="1">
      <c r="A2130" s="427"/>
      <c r="B2130" s="427" t="s">
        <v>969</v>
      </c>
      <c r="C2130" s="428">
        <v>1</v>
      </c>
      <c r="D2130" s="428">
        <v>1</v>
      </c>
      <c r="E2130" s="428">
        <v>1</v>
      </c>
      <c r="F2130" s="430">
        <v>10.54</v>
      </c>
      <c r="G2130" s="430"/>
      <c r="H2130" s="430">
        <v>0.4</v>
      </c>
      <c r="I2130" s="430">
        <f t="shared" si="91"/>
        <v>4.22</v>
      </c>
      <c r="J2130" s="431"/>
    </row>
    <row r="2131" spans="1:10" s="6" customFormat="1">
      <c r="A2131" s="427"/>
      <c r="B2131" s="427" t="s">
        <v>968</v>
      </c>
      <c r="C2131" s="428">
        <v>1</v>
      </c>
      <c r="D2131" s="428">
        <v>1</v>
      </c>
      <c r="E2131" s="428">
        <v>1</v>
      </c>
      <c r="F2131" s="430">
        <v>10.6</v>
      </c>
      <c r="G2131" s="430"/>
      <c r="H2131" s="430">
        <v>0.4</v>
      </c>
      <c r="I2131" s="430">
        <f t="shared" si="91"/>
        <v>4.24</v>
      </c>
      <c r="J2131" s="431"/>
    </row>
    <row r="2132" spans="1:10" s="6" customFormat="1">
      <c r="A2132" s="427"/>
      <c r="B2132" s="427" t="s">
        <v>973</v>
      </c>
      <c r="C2132" s="428">
        <v>1</v>
      </c>
      <c r="D2132" s="428">
        <v>1</v>
      </c>
      <c r="E2132" s="428">
        <v>2</v>
      </c>
      <c r="F2132" s="430">
        <v>3.54</v>
      </c>
      <c r="G2132" s="430"/>
      <c r="H2132" s="430">
        <v>0.4</v>
      </c>
      <c r="I2132" s="430">
        <f t="shared" si="91"/>
        <v>2.83</v>
      </c>
      <c r="J2132" s="431"/>
    </row>
    <row r="2133" spans="1:10" s="6" customFormat="1">
      <c r="A2133" s="427"/>
      <c r="B2133" s="427" t="s">
        <v>974</v>
      </c>
      <c r="C2133" s="428">
        <v>1</v>
      </c>
      <c r="D2133" s="428">
        <v>1</v>
      </c>
      <c r="E2133" s="428">
        <v>1</v>
      </c>
      <c r="F2133" s="430">
        <v>22.09</v>
      </c>
      <c r="G2133" s="430"/>
      <c r="H2133" s="430">
        <v>0.4</v>
      </c>
      <c r="I2133" s="430">
        <f t="shared" ref="I2133:I2143" si="92">PRODUCT(C2133:H2133)</f>
        <v>8.84</v>
      </c>
      <c r="J2133" s="431"/>
    </row>
    <row r="2134" spans="1:10" s="6" customFormat="1">
      <c r="A2134" s="427"/>
      <c r="B2134" s="427" t="s">
        <v>976</v>
      </c>
      <c r="C2134" s="428">
        <v>1</v>
      </c>
      <c r="D2134" s="428">
        <v>1</v>
      </c>
      <c r="E2134" s="428">
        <v>2</v>
      </c>
      <c r="F2134" s="430">
        <v>1.04</v>
      </c>
      <c r="G2134" s="430"/>
      <c r="H2134" s="430">
        <v>0.4</v>
      </c>
      <c r="I2134" s="430">
        <f t="shared" si="92"/>
        <v>0.83</v>
      </c>
      <c r="J2134" s="431"/>
    </row>
    <row r="2135" spans="1:10" s="6" customFormat="1">
      <c r="A2135" s="427"/>
      <c r="B2135" s="427" t="s">
        <v>975</v>
      </c>
      <c r="C2135" s="428">
        <v>1</v>
      </c>
      <c r="D2135" s="428">
        <v>1</v>
      </c>
      <c r="E2135" s="428">
        <v>1</v>
      </c>
      <c r="F2135" s="430">
        <v>7.27</v>
      </c>
      <c r="G2135" s="430"/>
      <c r="H2135" s="430">
        <v>0.4</v>
      </c>
      <c r="I2135" s="430">
        <f t="shared" si="92"/>
        <v>2.91</v>
      </c>
      <c r="J2135" s="431"/>
    </row>
    <row r="2136" spans="1:10" s="6" customFormat="1">
      <c r="A2136" s="427"/>
      <c r="B2136" s="427" t="s">
        <v>971</v>
      </c>
      <c r="C2136" s="428">
        <v>1</v>
      </c>
      <c r="D2136" s="428">
        <v>1</v>
      </c>
      <c r="E2136" s="428">
        <v>2</v>
      </c>
      <c r="F2136" s="430">
        <v>9.07</v>
      </c>
      <c r="G2136" s="430"/>
      <c r="H2136" s="430">
        <v>0.4</v>
      </c>
      <c r="I2136" s="430">
        <f t="shared" si="92"/>
        <v>7.26</v>
      </c>
      <c r="J2136" s="431"/>
    </row>
    <row r="2137" spans="1:10" s="6" customFormat="1">
      <c r="A2137" s="427"/>
      <c r="B2137" s="427" t="s">
        <v>976</v>
      </c>
      <c r="C2137" s="428">
        <v>5</v>
      </c>
      <c r="D2137" s="428">
        <v>1</v>
      </c>
      <c r="E2137" s="428">
        <v>2</v>
      </c>
      <c r="F2137" s="430">
        <v>0.74</v>
      </c>
      <c r="G2137" s="430"/>
      <c r="H2137" s="430">
        <v>0.4</v>
      </c>
      <c r="I2137" s="430">
        <f t="shared" si="92"/>
        <v>2.96</v>
      </c>
      <c r="J2137" s="431"/>
    </row>
    <row r="2138" spans="1:10" s="6" customFormat="1">
      <c r="A2138" s="427"/>
      <c r="B2138" s="427" t="s">
        <v>907</v>
      </c>
      <c r="C2138" s="428">
        <v>5</v>
      </c>
      <c r="D2138" s="428">
        <v>1</v>
      </c>
      <c r="E2138" s="428">
        <v>4</v>
      </c>
      <c r="F2138" s="430">
        <v>0.59</v>
      </c>
      <c r="G2138" s="430"/>
      <c r="H2138" s="430">
        <v>0.4</v>
      </c>
      <c r="I2138" s="430">
        <f t="shared" si="92"/>
        <v>4.72</v>
      </c>
      <c r="J2138" s="431"/>
    </row>
    <row r="2139" spans="1:10" s="6" customFormat="1">
      <c r="A2139" s="427"/>
      <c r="B2139" s="427" t="s">
        <v>907</v>
      </c>
      <c r="C2139" s="428">
        <v>5</v>
      </c>
      <c r="D2139" s="428">
        <v>2</v>
      </c>
      <c r="E2139" s="428">
        <v>1</v>
      </c>
      <c r="F2139" s="430">
        <v>0.59</v>
      </c>
      <c r="G2139" s="430"/>
      <c r="H2139" s="430">
        <v>0.4</v>
      </c>
      <c r="I2139" s="430">
        <f t="shared" si="92"/>
        <v>2.36</v>
      </c>
      <c r="J2139" s="431"/>
    </row>
    <row r="2140" spans="1:10" s="6" customFormat="1">
      <c r="A2140" s="427"/>
      <c r="B2140" s="427" t="s">
        <v>519</v>
      </c>
      <c r="C2140" s="428">
        <v>1</v>
      </c>
      <c r="D2140" s="428">
        <v>1</v>
      </c>
      <c r="E2140" s="428">
        <v>1</v>
      </c>
      <c r="F2140" s="430">
        <v>13.26</v>
      </c>
      <c r="G2140" s="430"/>
      <c r="H2140" s="430">
        <v>0.4</v>
      </c>
      <c r="I2140" s="430">
        <f t="shared" si="92"/>
        <v>5.3</v>
      </c>
      <c r="J2140" s="431"/>
    </row>
    <row r="2141" spans="1:10" s="6" customFormat="1">
      <c r="A2141" s="427"/>
      <c r="B2141" s="427" t="s">
        <v>907</v>
      </c>
      <c r="C2141" s="428">
        <v>1</v>
      </c>
      <c r="D2141" s="428">
        <v>1</v>
      </c>
      <c r="E2141" s="428">
        <v>1</v>
      </c>
      <c r="F2141" s="430">
        <v>18.920000000000002</v>
      </c>
      <c r="G2141" s="430"/>
      <c r="H2141" s="430">
        <v>0.4</v>
      </c>
      <c r="I2141" s="430">
        <f t="shared" si="92"/>
        <v>7.57</v>
      </c>
      <c r="J2141" s="431"/>
    </row>
    <row r="2142" spans="1:10" s="6" customFormat="1">
      <c r="A2142" s="427"/>
      <c r="B2142" s="427" t="s">
        <v>907</v>
      </c>
      <c r="C2142" s="428">
        <v>1</v>
      </c>
      <c r="D2142" s="428">
        <v>1</v>
      </c>
      <c r="E2142" s="428">
        <v>1</v>
      </c>
      <c r="F2142" s="430">
        <v>22.19</v>
      </c>
      <c r="G2142" s="430"/>
      <c r="H2142" s="430">
        <v>0.4</v>
      </c>
      <c r="I2142" s="430">
        <f t="shared" si="92"/>
        <v>8.8800000000000008</v>
      </c>
      <c r="J2142" s="431"/>
    </row>
    <row r="2143" spans="1:10" s="6" customFormat="1">
      <c r="A2143" s="427"/>
      <c r="B2143" s="427" t="s">
        <v>907</v>
      </c>
      <c r="C2143" s="428">
        <v>1</v>
      </c>
      <c r="D2143" s="428">
        <v>1</v>
      </c>
      <c r="E2143" s="428">
        <v>1</v>
      </c>
      <c r="F2143" s="430">
        <v>12.06</v>
      </c>
      <c r="G2143" s="430"/>
      <c r="H2143" s="430">
        <v>0.4</v>
      </c>
      <c r="I2143" s="430">
        <f t="shared" si="92"/>
        <v>4.82</v>
      </c>
      <c r="J2143" s="431"/>
    </row>
    <row r="2144" spans="1:10" s="6" customFormat="1">
      <c r="A2144" s="427"/>
      <c r="B2144" s="432" t="s">
        <v>977</v>
      </c>
      <c r="C2144" s="428"/>
      <c r="D2144" s="428"/>
      <c r="E2144" s="428"/>
      <c r="F2144" s="430"/>
      <c r="G2144" s="430"/>
      <c r="H2144" s="430"/>
      <c r="I2144" s="433"/>
      <c r="J2144" s="431"/>
    </row>
    <row r="2145" spans="1:18" s="6" customFormat="1">
      <c r="A2145" s="427"/>
      <c r="B2145" s="427" t="s">
        <v>955</v>
      </c>
      <c r="C2145" s="428">
        <v>1</v>
      </c>
      <c r="D2145" s="428">
        <v>1</v>
      </c>
      <c r="E2145" s="428">
        <v>1</v>
      </c>
      <c r="F2145" s="429">
        <v>217.35599999999999</v>
      </c>
      <c r="G2145" s="430"/>
      <c r="H2145" s="430">
        <v>0.15</v>
      </c>
      <c r="I2145" s="430">
        <f>PRODUCT(C2145:H2145)</f>
        <v>32.6</v>
      </c>
      <c r="J2145" s="431"/>
      <c r="K2145" s="164" t="s">
        <v>930</v>
      </c>
      <c r="L2145" s="166"/>
      <c r="M2145" s="166"/>
      <c r="N2145" s="166"/>
      <c r="O2145" s="167"/>
      <c r="P2145" s="167"/>
      <c r="Q2145" s="167"/>
      <c r="R2145" s="167"/>
    </row>
    <row r="2146" spans="1:18" s="6" customFormat="1">
      <c r="A2146" s="427"/>
      <c r="B2146" s="432" t="s">
        <v>956</v>
      </c>
      <c r="C2146" s="428"/>
      <c r="D2146" s="428"/>
      <c r="E2146" s="428"/>
      <c r="F2146" s="429"/>
      <c r="G2146" s="430"/>
      <c r="H2146" s="430"/>
      <c r="I2146" s="430"/>
      <c r="J2146" s="431"/>
      <c r="K2146" s="165" t="s">
        <v>931</v>
      </c>
      <c r="L2146" s="166">
        <v>1</v>
      </c>
      <c r="M2146" s="166">
        <v>1</v>
      </c>
      <c r="N2146" s="166">
        <v>79</v>
      </c>
      <c r="O2146" s="167">
        <v>0.3</v>
      </c>
      <c r="P2146" s="167">
        <v>0.45</v>
      </c>
      <c r="Q2146" s="167">
        <v>1.65</v>
      </c>
      <c r="R2146" s="167">
        <f t="shared" ref="R2146:R2152" si="93">PRODUCT(L2146:Q2146)</f>
        <v>17.600000000000001</v>
      </c>
    </row>
    <row r="2147" spans="1:18" s="6" customFormat="1">
      <c r="A2147" s="427"/>
      <c r="B2147" s="427" t="s">
        <v>957</v>
      </c>
      <c r="C2147" s="428">
        <v>1</v>
      </c>
      <c r="D2147" s="428">
        <v>1</v>
      </c>
      <c r="E2147" s="428">
        <v>2</v>
      </c>
      <c r="F2147" s="429">
        <v>13.24</v>
      </c>
      <c r="G2147" s="430"/>
      <c r="H2147" s="430">
        <v>0.15</v>
      </c>
      <c r="I2147" s="430">
        <f t="shared" ref="I2147:I2155" si="94">PRODUCT(C2147:H2147)</f>
        <v>3.97</v>
      </c>
      <c r="J2147" s="431"/>
      <c r="K2147" s="165" t="s">
        <v>75</v>
      </c>
      <c r="L2147" s="166">
        <v>1</v>
      </c>
      <c r="M2147" s="166">
        <v>1</v>
      </c>
      <c r="N2147" s="166">
        <v>54</v>
      </c>
      <c r="O2147" s="167">
        <v>0.3</v>
      </c>
      <c r="P2147" s="167">
        <v>0.6</v>
      </c>
      <c r="Q2147" s="167">
        <v>1.65</v>
      </c>
      <c r="R2147" s="167">
        <f t="shared" si="93"/>
        <v>16.04</v>
      </c>
    </row>
    <row r="2148" spans="1:18" s="6" customFormat="1">
      <c r="A2148" s="427"/>
      <c r="B2148" s="427" t="s">
        <v>958</v>
      </c>
      <c r="C2148" s="428">
        <v>1</v>
      </c>
      <c r="D2148" s="428">
        <v>1</v>
      </c>
      <c r="E2148" s="428">
        <v>2</v>
      </c>
      <c r="F2148" s="429">
        <v>9.17</v>
      </c>
      <c r="G2148" s="430"/>
      <c r="H2148" s="430">
        <v>0.15</v>
      </c>
      <c r="I2148" s="430">
        <f t="shared" si="94"/>
        <v>2.75</v>
      </c>
      <c r="J2148" s="431"/>
      <c r="K2148" s="165" t="s">
        <v>76</v>
      </c>
      <c r="L2148" s="166">
        <v>1</v>
      </c>
      <c r="M2148" s="166">
        <v>1</v>
      </c>
      <c r="N2148" s="166">
        <v>3</v>
      </c>
      <c r="O2148" s="167">
        <v>0.3</v>
      </c>
      <c r="P2148" s="167">
        <v>0.6</v>
      </c>
      <c r="Q2148" s="167">
        <v>1.65</v>
      </c>
      <c r="R2148" s="167">
        <f t="shared" si="93"/>
        <v>0.89</v>
      </c>
    </row>
    <row r="2149" spans="1:18" s="6" customFormat="1">
      <c r="A2149" s="427"/>
      <c r="B2149" s="427" t="s">
        <v>89</v>
      </c>
      <c r="C2149" s="428">
        <v>1</v>
      </c>
      <c r="D2149" s="428">
        <v>1</v>
      </c>
      <c r="E2149" s="428">
        <v>2</v>
      </c>
      <c r="F2149" s="429">
        <v>16.37</v>
      </c>
      <c r="G2149" s="430"/>
      <c r="H2149" s="430">
        <v>0.15</v>
      </c>
      <c r="I2149" s="430">
        <f t="shared" si="94"/>
        <v>4.91</v>
      </c>
      <c r="J2149" s="431"/>
      <c r="K2149" s="165" t="s">
        <v>485</v>
      </c>
      <c r="L2149" s="166">
        <v>1</v>
      </c>
      <c r="M2149" s="166">
        <v>1</v>
      </c>
      <c r="N2149" s="166">
        <v>7</v>
      </c>
      <c r="O2149" s="167">
        <v>0.3</v>
      </c>
      <c r="P2149" s="167">
        <v>0.75</v>
      </c>
      <c r="Q2149" s="167">
        <v>1.65</v>
      </c>
      <c r="R2149" s="167">
        <f t="shared" si="93"/>
        <v>2.6</v>
      </c>
    </row>
    <row r="2150" spans="1:18" s="6" customFormat="1">
      <c r="A2150" s="427"/>
      <c r="B2150" s="427" t="s">
        <v>959</v>
      </c>
      <c r="C2150" s="428">
        <v>1</v>
      </c>
      <c r="D2150" s="428">
        <v>1</v>
      </c>
      <c r="E2150" s="428">
        <v>2</v>
      </c>
      <c r="F2150" s="429">
        <v>14.7</v>
      </c>
      <c r="G2150" s="430"/>
      <c r="H2150" s="430">
        <v>0.15</v>
      </c>
      <c r="I2150" s="430">
        <f t="shared" si="94"/>
        <v>4.41</v>
      </c>
      <c r="J2150" s="431"/>
      <c r="K2150" s="165" t="s">
        <v>487</v>
      </c>
      <c r="L2150" s="166">
        <v>1</v>
      </c>
      <c r="M2150" s="166">
        <v>1</v>
      </c>
      <c r="N2150" s="166">
        <v>1</v>
      </c>
      <c r="O2150" s="167">
        <v>0.38</v>
      </c>
      <c r="P2150" s="167">
        <v>0.75</v>
      </c>
      <c r="Q2150" s="167">
        <v>1.65</v>
      </c>
      <c r="R2150" s="167">
        <f t="shared" si="93"/>
        <v>0.47</v>
      </c>
    </row>
    <row r="2151" spans="1:18" s="6" customFormat="1">
      <c r="A2151" s="427"/>
      <c r="B2151" s="427" t="s">
        <v>88</v>
      </c>
      <c r="C2151" s="428">
        <v>1</v>
      </c>
      <c r="D2151" s="428">
        <v>1</v>
      </c>
      <c r="E2151" s="428">
        <v>2</v>
      </c>
      <c r="F2151" s="429">
        <v>14.77</v>
      </c>
      <c r="G2151" s="430"/>
      <c r="H2151" s="430">
        <v>0.15</v>
      </c>
      <c r="I2151" s="433">
        <f t="shared" si="94"/>
        <v>4.43</v>
      </c>
      <c r="J2151" s="431"/>
      <c r="K2151" s="165" t="s">
        <v>932</v>
      </c>
      <c r="L2151" s="166">
        <v>1</v>
      </c>
      <c r="M2151" s="166">
        <v>1</v>
      </c>
      <c r="N2151" s="166">
        <v>2</v>
      </c>
      <c r="O2151" s="167">
        <v>9.92</v>
      </c>
      <c r="P2151" s="167">
        <v>0.23</v>
      </c>
      <c r="Q2151" s="167">
        <v>1.65</v>
      </c>
      <c r="R2151" s="167">
        <f t="shared" si="93"/>
        <v>7.53</v>
      </c>
    </row>
    <row r="2152" spans="1:18" s="6" customFormat="1">
      <c r="A2152" s="427"/>
      <c r="B2152" s="427" t="s">
        <v>960</v>
      </c>
      <c r="C2152" s="428">
        <v>1</v>
      </c>
      <c r="D2152" s="428">
        <v>1</v>
      </c>
      <c r="E2152" s="428">
        <v>2</v>
      </c>
      <c r="F2152" s="429">
        <v>6.8</v>
      </c>
      <c r="G2152" s="430"/>
      <c r="H2152" s="430">
        <v>0.15</v>
      </c>
      <c r="I2152" s="430">
        <f t="shared" si="94"/>
        <v>2.04</v>
      </c>
      <c r="J2152" s="431"/>
      <c r="K2152" s="165" t="s">
        <v>933</v>
      </c>
      <c r="L2152" s="166">
        <v>1</v>
      </c>
      <c r="M2152" s="166">
        <v>1</v>
      </c>
      <c r="N2152" s="166">
        <v>1</v>
      </c>
      <c r="O2152" s="167">
        <v>11.52</v>
      </c>
      <c r="P2152" s="167">
        <v>0.23</v>
      </c>
      <c r="Q2152" s="167">
        <v>1.65</v>
      </c>
      <c r="R2152" s="167">
        <f t="shared" si="93"/>
        <v>4.37</v>
      </c>
    </row>
    <row r="2153" spans="1:18" s="6" customFormat="1">
      <c r="A2153" s="427"/>
      <c r="B2153" s="427" t="s">
        <v>513</v>
      </c>
      <c r="C2153" s="428">
        <v>1</v>
      </c>
      <c r="D2153" s="428">
        <v>1</v>
      </c>
      <c r="E2153" s="428">
        <v>2</v>
      </c>
      <c r="F2153" s="429">
        <v>10</v>
      </c>
      <c r="G2153" s="430"/>
      <c r="H2153" s="430">
        <v>0.15</v>
      </c>
      <c r="I2153" s="430">
        <f t="shared" si="94"/>
        <v>3</v>
      </c>
      <c r="J2153" s="431"/>
    </row>
    <row r="2154" spans="1:18" s="6" customFormat="1">
      <c r="A2154" s="427"/>
      <c r="B2154" s="427" t="s">
        <v>961</v>
      </c>
      <c r="C2154" s="428">
        <v>1</v>
      </c>
      <c r="D2154" s="428">
        <v>1</v>
      </c>
      <c r="E2154" s="428">
        <v>2</v>
      </c>
      <c r="F2154" s="429">
        <v>14.1</v>
      </c>
      <c r="G2154" s="430"/>
      <c r="H2154" s="430">
        <v>0.15</v>
      </c>
      <c r="I2154" s="430">
        <f t="shared" si="94"/>
        <v>4.2300000000000004</v>
      </c>
      <c r="J2154" s="431"/>
    </row>
    <row r="2155" spans="1:18" s="6" customFormat="1">
      <c r="A2155" s="427"/>
      <c r="B2155" s="427" t="s">
        <v>962</v>
      </c>
      <c r="C2155" s="428">
        <v>1</v>
      </c>
      <c r="D2155" s="428">
        <v>1</v>
      </c>
      <c r="E2155" s="428">
        <v>2</v>
      </c>
      <c r="F2155" s="429">
        <v>7.24</v>
      </c>
      <c r="G2155" s="430"/>
      <c r="H2155" s="430">
        <v>0.15</v>
      </c>
      <c r="I2155" s="430">
        <f t="shared" si="94"/>
        <v>2.17</v>
      </c>
      <c r="J2155" s="431"/>
    </row>
    <row r="2156" spans="1:18" s="6" customFormat="1">
      <c r="A2156" s="427"/>
      <c r="B2156" s="432" t="s">
        <v>963</v>
      </c>
      <c r="C2156" s="428"/>
      <c r="D2156" s="428"/>
      <c r="E2156" s="428"/>
      <c r="F2156" s="429"/>
      <c r="G2156" s="430"/>
      <c r="H2156" s="430"/>
      <c r="I2156" s="430"/>
      <c r="J2156" s="431"/>
    </row>
    <row r="2157" spans="1:18" s="6" customFormat="1">
      <c r="A2157" s="427"/>
      <c r="B2157" s="427" t="s">
        <v>964</v>
      </c>
      <c r="C2157" s="428">
        <v>2</v>
      </c>
      <c r="D2157" s="428">
        <v>1</v>
      </c>
      <c r="E2157" s="428">
        <v>4</v>
      </c>
      <c r="F2157" s="429">
        <v>17.559999999999999</v>
      </c>
      <c r="G2157" s="430"/>
      <c r="H2157" s="430">
        <v>0.15</v>
      </c>
      <c r="I2157" s="430">
        <f t="shared" ref="I2157:I2186" si="95">PRODUCT(C2157:H2157)</f>
        <v>21.07</v>
      </c>
      <c r="J2157" s="431"/>
    </row>
    <row r="2158" spans="1:18" s="6" customFormat="1">
      <c r="A2158" s="427"/>
      <c r="B2158" s="427" t="s">
        <v>88</v>
      </c>
      <c r="C2158" s="428">
        <v>2</v>
      </c>
      <c r="D2158" s="428">
        <v>1</v>
      </c>
      <c r="E2158" s="428">
        <v>4</v>
      </c>
      <c r="F2158" s="429">
        <v>17.63</v>
      </c>
      <c r="G2158" s="430"/>
      <c r="H2158" s="430">
        <v>0.15</v>
      </c>
      <c r="I2158" s="430">
        <f t="shared" si="95"/>
        <v>21.16</v>
      </c>
      <c r="J2158" s="431"/>
    </row>
    <row r="2159" spans="1:18" s="6" customFormat="1">
      <c r="A2159" s="427"/>
      <c r="B2159" s="427" t="s">
        <v>957</v>
      </c>
      <c r="C2159" s="428">
        <v>2</v>
      </c>
      <c r="D2159" s="428">
        <v>1</v>
      </c>
      <c r="E2159" s="428">
        <v>4</v>
      </c>
      <c r="F2159" s="429">
        <v>16.84</v>
      </c>
      <c r="G2159" s="430"/>
      <c r="H2159" s="430">
        <v>0.15</v>
      </c>
      <c r="I2159" s="430">
        <f t="shared" si="95"/>
        <v>20.21</v>
      </c>
      <c r="J2159" s="431"/>
    </row>
    <row r="2160" spans="1:18" s="6" customFormat="1">
      <c r="A2160" s="427"/>
      <c r="B2160" s="427" t="s">
        <v>965</v>
      </c>
      <c r="C2160" s="428">
        <v>2</v>
      </c>
      <c r="D2160" s="428">
        <v>1</v>
      </c>
      <c r="E2160" s="428">
        <v>1</v>
      </c>
      <c r="F2160" s="429">
        <v>3.3849999999999998</v>
      </c>
      <c r="G2160" s="430"/>
      <c r="H2160" s="430">
        <v>0.15</v>
      </c>
      <c r="I2160" s="430">
        <f t="shared" si="95"/>
        <v>1.02</v>
      </c>
      <c r="J2160" s="431"/>
    </row>
    <row r="2161" spans="1:10" s="6" customFormat="1">
      <c r="A2161" s="427"/>
      <c r="B2161" s="427" t="s">
        <v>93</v>
      </c>
      <c r="C2161" s="428">
        <v>2</v>
      </c>
      <c r="D2161" s="428">
        <v>1</v>
      </c>
      <c r="E2161" s="428">
        <v>1</v>
      </c>
      <c r="F2161" s="429">
        <v>1.2649999999999999</v>
      </c>
      <c r="G2161" s="430"/>
      <c r="H2161" s="430">
        <v>0.15</v>
      </c>
      <c r="I2161" s="430">
        <f t="shared" si="95"/>
        <v>0.38</v>
      </c>
      <c r="J2161" s="431"/>
    </row>
    <row r="2162" spans="1:10" s="6" customFormat="1">
      <c r="A2162" s="427"/>
      <c r="B2162" s="427" t="s">
        <v>966</v>
      </c>
      <c r="C2162" s="428">
        <v>2</v>
      </c>
      <c r="D2162" s="428">
        <v>1</v>
      </c>
      <c r="E2162" s="428">
        <v>4</v>
      </c>
      <c r="F2162" s="429">
        <v>9.57</v>
      </c>
      <c r="G2162" s="430"/>
      <c r="H2162" s="430">
        <v>0.15</v>
      </c>
      <c r="I2162" s="430">
        <f t="shared" si="95"/>
        <v>11.48</v>
      </c>
      <c r="J2162" s="431"/>
    </row>
    <row r="2163" spans="1:10" s="6" customFormat="1">
      <c r="A2163" s="427"/>
      <c r="B2163" s="427" t="s">
        <v>967</v>
      </c>
      <c r="C2163" s="428">
        <v>1</v>
      </c>
      <c r="D2163" s="428">
        <v>1</v>
      </c>
      <c r="E2163" s="428">
        <v>6</v>
      </c>
      <c r="F2163" s="429">
        <v>13.46</v>
      </c>
      <c r="G2163" s="430"/>
      <c r="H2163" s="430">
        <v>0.15</v>
      </c>
      <c r="I2163" s="430">
        <f t="shared" si="95"/>
        <v>12.11</v>
      </c>
      <c r="J2163" s="431"/>
    </row>
    <row r="2164" spans="1:10" s="6" customFormat="1">
      <c r="A2164" s="427"/>
      <c r="B2164" s="427" t="s">
        <v>968</v>
      </c>
      <c r="C2164" s="428">
        <v>1</v>
      </c>
      <c r="D2164" s="428">
        <v>1</v>
      </c>
      <c r="E2164" s="428">
        <v>2</v>
      </c>
      <c r="F2164" s="429">
        <v>9</v>
      </c>
      <c r="G2164" s="430"/>
      <c r="H2164" s="430">
        <v>0.15</v>
      </c>
      <c r="I2164" s="430">
        <f t="shared" si="95"/>
        <v>2.7</v>
      </c>
      <c r="J2164" s="431"/>
    </row>
    <row r="2165" spans="1:10" s="6" customFormat="1">
      <c r="A2165" s="427"/>
      <c r="B2165" s="427" t="s">
        <v>969</v>
      </c>
      <c r="C2165" s="428">
        <v>1</v>
      </c>
      <c r="D2165" s="428">
        <v>1</v>
      </c>
      <c r="E2165" s="428">
        <v>2</v>
      </c>
      <c r="F2165" s="429">
        <v>8</v>
      </c>
      <c r="G2165" s="430"/>
      <c r="H2165" s="430">
        <v>0.15</v>
      </c>
      <c r="I2165" s="430">
        <f t="shared" si="95"/>
        <v>2.4</v>
      </c>
      <c r="J2165" s="431"/>
    </row>
    <row r="2166" spans="1:10" s="6" customFormat="1">
      <c r="A2166" s="427"/>
      <c r="B2166" s="427" t="s">
        <v>970</v>
      </c>
      <c r="C2166" s="428">
        <v>1</v>
      </c>
      <c r="D2166" s="428">
        <v>1</v>
      </c>
      <c r="E2166" s="428">
        <v>1</v>
      </c>
      <c r="F2166" s="429">
        <v>7.61</v>
      </c>
      <c r="G2166" s="430"/>
      <c r="H2166" s="430">
        <v>0.15</v>
      </c>
      <c r="I2166" s="430">
        <f t="shared" si="95"/>
        <v>1.1399999999999999</v>
      </c>
      <c r="J2166" s="431"/>
    </row>
    <row r="2167" spans="1:10" s="6" customFormat="1">
      <c r="A2167" s="427"/>
      <c r="B2167" s="427" t="s">
        <v>971</v>
      </c>
      <c r="C2167" s="428">
        <v>1</v>
      </c>
      <c r="D2167" s="428">
        <v>1</v>
      </c>
      <c r="E2167" s="428">
        <v>1</v>
      </c>
      <c r="F2167" s="429">
        <v>6.61</v>
      </c>
      <c r="G2167" s="430"/>
      <c r="H2167" s="430">
        <v>0.15</v>
      </c>
      <c r="I2167" s="433">
        <f t="shared" si="95"/>
        <v>0.99</v>
      </c>
      <c r="J2167" s="431"/>
    </row>
    <row r="2168" spans="1:10" s="6" customFormat="1">
      <c r="A2168" s="427"/>
      <c r="B2168" s="427" t="s">
        <v>969</v>
      </c>
      <c r="C2168" s="428">
        <v>1</v>
      </c>
      <c r="D2168" s="428">
        <v>1</v>
      </c>
      <c r="E2168" s="428">
        <v>1</v>
      </c>
      <c r="F2168" s="429">
        <v>7.27</v>
      </c>
      <c r="G2168" s="430"/>
      <c r="H2168" s="430">
        <v>0.15</v>
      </c>
      <c r="I2168" s="433">
        <f t="shared" si="95"/>
        <v>1.0900000000000001</v>
      </c>
      <c r="J2168" s="431"/>
    </row>
    <row r="2169" spans="1:10" s="6" customFormat="1">
      <c r="A2169" s="427"/>
      <c r="B2169" s="432" t="s">
        <v>907</v>
      </c>
      <c r="C2169" s="428">
        <v>1</v>
      </c>
      <c r="D2169" s="428">
        <v>1</v>
      </c>
      <c r="E2169" s="428">
        <v>1</v>
      </c>
      <c r="F2169" s="430">
        <v>6.47</v>
      </c>
      <c r="G2169" s="430"/>
      <c r="H2169" s="430">
        <v>0.15</v>
      </c>
      <c r="I2169" s="430">
        <f t="shared" si="95"/>
        <v>0.97</v>
      </c>
      <c r="J2169" s="431"/>
    </row>
    <row r="2170" spans="1:10" s="6" customFormat="1">
      <c r="A2170" s="427"/>
      <c r="B2170" s="427" t="s">
        <v>972</v>
      </c>
      <c r="C2170" s="428">
        <v>1</v>
      </c>
      <c r="D2170" s="428">
        <v>1</v>
      </c>
      <c r="E2170" s="428">
        <v>2</v>
      </c>
      <c r="F2170" s="430">
        <v>12.26</v>
      </c>
      <c r="G2170" s="430"/>
      <c r="H2170" s="430">
        <v>0.15</v>
      </c>
      <c r="I2170" s="430">
        <f t="shared" si="95"/>
        <v>3.68</v>
      </c>
      <c r="J2170" s="431"/>
    </row>
    <row r="2171" spans="1:10" s="6" customFormat="1">
      <c r="A2171" s="427"/>
      <c r="B2171" s="427" t="s">
        <v>969</v>
      </c>
      <c r="C2171" s="428">
        <v>1</v>
      </c>
      <c r="D2171" s="428">
        <v>1</v>
      </c>
      <c r="E2171" s="428">
        <v>1</v>
      </c>
      <c r="F2171" s="430">
        <v>10.6</v>
      </c>
      <c r="G2171" s="430"/>
      <c r="H2171" s="430">
        <v>0.15</v>
      </c>
      <c r="I2171" s="430">
        <f t="shared" si="95"/>
        <v>1.59</v>
      </c>
      <c r="J2171" s="431"/>
    </row>
    <row r="2172" spans="1:10" s="6" customFormat="1">
      <c r="A2172" s="427"/>
      <c r="B2172" s="427" t="s">
        <v>961</v>
      </c>
      <c r="C2172" s="428">
        <v>1</v>
      </c>
      <c r="D2172" s="428">
        <v>1</v>
      </c>
      <c r="E2172" s="428">
        <v>1</v>
      </c>
      <c r="F2172" s="430">
        <v>15.46</v>
      </c>
      <c r="G2172" s="430"/>
      <c r="H2172" s="430">
        <v>0.15</v>
      </c>
      <c r="I2172" s="430">
        <f t="shared" si="95"/>
        <v>2.3199999999999998</v>
      </c>
      <c r="J2172" s="431"/>
    </row>
    <row r="2173" spans="1:10" s="6" customFormat="1">
      <c r="A2173" s="427"/>
      <c r="B2173" s="427" t="s">
        <v>969</v>
      </c>
      <c r="C2173" s="428">
        <v>1</v>
      </c>
      <c r="D2173" s="428">
        <v>1</v>
      </c>
      <c r="E2173" s="428">
        <v>1</v>
      </c>
      <c r="F2173" s="430">
        <v>10.54</v>
      </c>
      <c r="G2173" s="430"/>
      <c r="H2173" s="430">
        <v>0.15</v>
      </c>
      <c r="I2173" s="430">
        <f t="shared" si="95"/>
        <v>1.58</v>
      </c>
      <c r="J2173" s="431"/>
    </row>
    <row r="2174" spans="1:10" s="6" customFormat="1">
      <c r="A2174" s="427"/>
      <c r="B2174" s="427" t="s">
        <v>968</v>
      </c>
      <c r="C2174" s="428">
        <v>1</v>
      </c>
      <c r="D2174" s="428">
        <v>1</v>
      </c>
      <c r="E2174" s="428">
        <v>1</v>
      </c>
      <c r="F2174" s="430">
        <v>10.6</v>
      </c>
      <c r="G2174" s="430"/>
      <c r="H2174" s="430">
        <v>0.15</v>
      </c>
      <c r="I2174" s="430">
        <f t="shared" si="95"/>
        <v>1.59</v>
      </c>
      <c r="J2174" s="431"/>
    </row>
    <row r="2175" spans="1:10" s="6" customFormat="1">
      <c r="A2175" s="427"/>
      <c r="B2175" s="427" t="s">
        <v>973</v>
      </c>
      <c r="C2175" s="428">
        <v>1</v>
      </c>
      <c r="D2175" s="428">
        <v>1</v>
      </c>
      <c r="E2175" s="428">
        <v>2</v>
      </c>
      <c r="F2175" s="430">
        <v>3.54</v>
      </c>
      <c r="G2175" s="430"/>
      <c r="H2175" s="430">
        <v>0.15</v>
      </c>
      <c r="I2175" s="430">
        <f t="shared" si="95"/>
        <v>1.06</v>
      </c>
      <c r="J2175" s="431"/>
    </row>
    <row r="2176" spans="1:10" s="6" customFormat="1">
      <c r="A2176" s="427"/>
      <c r="B2176" s="427" t="s">
        <v>974</v>
      </c>
      <c r="C2176" s="428">
        <v>1</v>
      </c>
      <c r="D2176" s="428">
        <v>1</v>
      </c>
      <c r="E2176" s="428">
        <v>1</v>
      </c>
      <c r="F2176" s="430">
        <v>22.09</v>
      </c>
      <c r="G2176" s="430"/>
      <c r="H2176" s="430">
        <v>0.15</v>
      </c>
      <c r="I2176" s="430">
        <f t="shared" si="95"/>
        <v>3.31</v>
      </c>
      <c r="J2176" s="431"/>
    </row>
    <row r="2177" spans="1:13" s="6" customFormat="1">
      <c r="A2177" s="427"/>
      <c r="B2177" s="427" t="s">
        <v>976</v>
      </c>
      <c r="C2177" s="428">
        <v>1</v>
      </c>
      <c r="D2177" s="428">
        <v>1</v>
      </c>
      <c r="E2177" s="428">
        <v>2</v>
      </c>
      <c r="F2177" s="430">
        <v>1.04</v>
      </c>
      <c r="G2177" s="430"/>
      <c r="H2177" s="430">
        <v>0.15</v>
      </c>
      <c r="I2177" s="430">
        <f t="shared" si="95"/>
        <v>0.31</v>
      </c>
      <c r="J2177" s="431"/>
    </row>
    <row r="2178" spans="1:13" s="6" customFormat="1">
      <c r="A2178" s="427"/>
      <c r="B2178" s="427" t="s">
        <v>975</v>
      </c>
      <c r="C2178" s="428">
        <v>1</v>
      </c>
      <c r="D2178" s="428">
        <v>1</v>
      </c>
      <c r="E2178" s="428">
        <v>1</v>
      </c>
      <c r="F2178" s="430">
        <v>7.27</v>
      </c>
      <c r="G2178" s="430"/>
      <c r="H2178" s="430">
        <v>0.15</v>
      </c>
      <c r="I2178" s="430">
        <f t="shared" si="95"/>
        <v>1.0900000000000001</v>
      </c>
      <c r="J2178" s="431"/>
    </row>
    <row r="2179" spans="1:13" s="6" customFormat="1">
      <c r="A2179" s="427"/>
      <c r="B2179" s="427" t="s">
        <v>971</v>
      </c>
      <c r="C2179" s="428">
        <v>1</v>
      </c>
      <c r="D2179" s="428">
        <v>1</v>
      </c>
      <c r="E2179" s="428">
        <v>2</v>
      </c>
      <c r="F2179" s="430">
        <v>9.07</v>
      </c>
      <c r="G2179" s="430"/>
      <c r="H2179" s="430">
        <v>0.15</v>
      </c>
      <c r="I2179" s="430">
        <f t="shared" si="95"/>
        <v>2.72</v>
      </c>
      <c r="J2179" s="431"/>
    </row>
    <row r="2180" spans="1:13" s="6" customFormat="1">
      <c r="A2180" s="427"/>
      <c r="B2180" s="427" t="s">
        <v>976</v>
      </c>
      <c r="C2180" s="428">
        <v>5</v>
      </c>
      <c r="D2180" s="428">
        <v>1</v>
      </c>
      <c r="E2180" s="428">
        <v>2</v>
      </c>
      <c r="F2180" s="430">
        <v>0.74</v>
      </c>
      <c r="G2180" s="430"/>
      <c r="H2180" s="430">
        <v>0.15</v>
      </c>
      <c r="I2180" s="430">
        <f t="shared" si="95"/>
        <v>1.1100000000000001</v>
      </c>
      <c r="J2180" s="431"/>
    </row>
    <row r="2181" spans="1:13" s="6" customFormat="1">
      <c r="A2181" s="427"/>
      <c r="B2181" s="427" t="s">
        <v>907</v>
      </c>
      <c r="C2181" s="428">
        <v>5</v>
      </c>
      <c r="D2181" s="428">
        <v>1</v>
      </c>
      <c r="E2181" s="428">
        <v>4</v>
      </c>
      <c r="F2181" s="430">
        <v>0.59</v>
      </c>
      <c r="G2181" s="430"/>
      <c r="H2181" s="430">
        <v>0.15</v>
      </c>
      <c r="I2181" s="430">
        <f t="shared" si="95"/>
        <v>1.77</v>
      </c>
      <c r="J2181" s="431"/>
    </row>
    <row r="2182" spans="1:13" s="6" customFormat="1">
      <c r="A2182" s="427"/>
      <c r="B2182" s="427" t="s">
        <v>907</v>
      </c>
      <c r="C2182" s="428">
        <v>5</v>
      </c>
      <c r="D2182" s="428">
        <v>2</v>
      </c>
      <c r="E2182" s="428">
        <v>1</v>
      </c>
      <c r="F2182" s="430">
        <v>0.59</v>
      </c>
      <c r="G2182" s="430"/>
      <c r="H2182" s="430">
        <v>0.15</v>
      </c>
      <c r="I2182" s="430">
        <f t="shared" si="95"/>
        <v>0.89</v>
      </c>
      <c r="J2182" s="431"/>
    </row>
    <row r="2183" spans="1:13" s="6" customFormat="1">
      <c r="A2183" s="427"/>
      <c r="B2183" s="427" t="s">
        <v>519</v>
      </c>
      <c r="C2183" s="428">
        <v>1</v>
      </c>
      <c r="D2183" s="428">
        <v>1</v>
      </c>
      <c r="E2183" s="428">
        <v>1</v>
      </c>
      <c r="F2183" s="430">
        <v>13.26</v>
      </c>
      <c r="G2183" s="430"/>
      <c r="H2183" s="430">
        <v>0.15</v>
      </c>
      <c r="I2183" s="430">
        <f t="shared" si="95"/>
        <v>1.99</v>
      </c>
      <c r="J2183" s="431"/>
    </row>
    <row r="2184" spans="1:13" s="6" customFormat="1">
      <c r="A2184" s="427"/>
      <c r="B2184" s="427" t="s">
        <v>907</v>
      </c>
      <c r="C2184" s="428">
        <v>1</v>
      </c>
      <c r="D2184" s="428">
        <v>1</v>
      </c>
      <c r="E2184" s="428">
        <v>1</v>
      </c>
      <c r="F2184" s="430">
        <v>18.920000000000002</v>
      </c>
      <c r="G2184" s="430"/>
      <c r="H2184" s="430">
        <v>0.15</v>
      </c>
      <c r="I2184" s="430">
        <f t="shared" si="95"/>
        <v>2.84</v>
      </c>
      <c r="J2184" s="431"/>
    </row>
    <row r="2185" spans="1:13" s="6" customFormat="1">
      <c r="A2185" s="427"/>
      <c r="B2185" s="427" t="s">
        <v>907</v>
      </c>
      <c r="C2185" s="428">
        <v>1</v>
      </c>
      <c r="D2185" s="428">
        <v>1</v>
      </c>
      <c r="E2185" s="428">
        <v>1</v>
      </c>
      <c r="F2185" s="430">
        <v>22.19</v>
      </c>
      <c r="G2185" s="430"/>
      <c r="H2185" s="430">
        <v>0.15</v>
      </c>
      <c r="I2185" s="430">
        <f t="shared" si="95"/>
        <v>3.33</v>
      </c>
      <c r="J2185" s="431"/>
    </row>
    <row r="2186" spans="1:13" s="6" customFormat="1">
      <c r="A2186" s="427"/>
      <c r="B2186" s="427" t="s">
        <v>907</v>
      </c>
      <c r="C2186" s="428">
        <v>1</v>
      </c>
      <c r="D2186" s="428">
        <v>1</v>
      </c>
      <c r="E2186" s="428">
        <v>1</v>
      </c>
      <c r="F2186" s="430">
        <v>12.06</v>
      </c>
      <c r="G2186" s="430"/>
      <c r="H2186" s="430">
        <v>0.15</v>
      </c>
      <c r="I2186" s="430">
        <f t="shared" si="95"/>
        <v>1.81</v>
      </c>
      <c r="J2186" s="431"/>
    </row>
    <row r="2187" spans="1:13" s="91" customFormat="1" ht="21.75" customHeight="1">
      <c r="A2187" s="278"/>
      <c r="B2187" s="279"/>
      <c r="C2187" s="280"/>
      <c r="D2187" s="280"/>
      <c r="E2187" s="280"/>
      <c r="F2187" s="282"/>
      <c r="G2187" s="282"/>
      <c r="H2187" s="282"/>
      <c r="I2187" s="416">
        <f>SUM(I2079:I2186)</f>
        <v>1477.11</v>
      </c>
      <c r="J2187" s="278"/>
      <c r="K2187" s="46"/>
      <c r="L2187" s="46"/>
      <c r="M2187" s="46"/>
    </row>
    <row r="2188" spans="1:13" s="91" customFormat="1" ht="22.5" customHeight="1">
      <c r="A2188" s="278"/>
      <c r="B2188" s="279"/>
      <c r="C2188" s="280"/>
      <c r="D2188" s="280"/>
      <c r="E2188" s="280"/>
      <c r="F2188" s="282"/>
      <c r="G2188" s="282"/>
      <c r="H2188" s="415" t="s">
        <v>55</v>
      </c>
      <c r="I2188" s="416">
        <f>ROUNDUP(I2187,0)</f>
        <v>1478</v>
      </c>
      <c r="J2188" s="287" t="s">
        <v>4</v>
      </c>
      <c r="K2188" s="42"/>
      <c r="L2188" s="42"/>
      <c r="M2188" s="42"/>
    </row>
    <row r="2189" spans="1:13" s="91" customFormat="1" ht="60.75" customHeight="1">
      <c r="A2189" s="278"/>
      <c r="B2189" s="286" t="s">
        <v>534</v>
      </c>
      <c r="C2189" s="280"/>
      <c r="D2189" s="280"/>
      <c r="E2189" s="280"/>
      <c r="F2189" s="282"/>
      <c r="G2189" s="282"/>
      <c r="H2189" s="282"/>
      <c r="I2189" s="416"/>
      <c r="J2189" s="278"/>
      <c r="K2189" s="46"/>
      <c r="L2189" s="46"/>
      <c r="M2189" s="46"/>
    </row>
    <row r="2190" spans="1:13" s="91" customFormat="1" ht="23.25" customHeight="1">
      <c r="A2190" s="278"/>
      <c r="B2190" s="286" t="s">
        <v>533</v>
      </c>
      <c r="C2190" s="280"/>
      <c r="D2190" s="280"/>
      <c r="E2190" s="280"/>
      <c r="F2190" s="282"/>
      <c r="G2190" s="282"/>
      <c r="H2190" s="282"/>
      <c r="I2190" s="416"/>
      <c r="J2190" s="278"/>
      <c r="K2190" s="46"/>
      <c r="L2190" s="46"/>
      <c r="M2190" s="46"/>
    </row>
    <row r="2191" spans="1:13" s="367" customFormat="1" ht="22.5" customHeight="1">
      <c r="A2191" s="395"/>
      <c r="B2191" s="396" t="s">
        <v>216</v>
      </c>
      <c r="C2191" s="397"/>
      <c r="D2191" s="397"/>
      <c r="E2191" s="397"/>
      <c r="F2191" s="410"/>
      <c r="G2191" s="410"/>
      <c r="H2191" s="410"/>
      <c r="I2191" s="399"/>
      <c r="J2191" s="396"/>
    </row>
    <row r="2192" spans="1:13" s="367" customFormat="1" ht="22.5" customHeight="1">
      <c r="A2192" s="395"/>
      <c r="B2192" s="396" t="s">
        <v>1468</v>
      </c>
      <c r="C2192" s="397"/>
      <c r="D2192" s="397"/>
      <c r="E2192" s="397"/>
      <c r="F2192" s="410"/>
      <c r="G2192" s="410"/>
      <c r="H2192" s="410"/>
      <c r="I2192" s="399"/>
      <c r="J2192" s="396"/>
    </row>
    <row r="2193" spans="1:10" s="367" customFormat="1" ht="22.5" customHeight="1">
      <c r="A2193" s="395"/>
      <c r="B2193" s="401" t="s">
        <v>1469</v>
      </c>
      <c r="C2193" s="397">
        <v>1</v>
      </c>
      <c r="D2193" s="397">
        <v>1</v>
      </c>
      <c r="E2193" s="397">
        <v>1</v>
      </c>
      <c r="F2193" s="410">
        <v>50.07</v>
      </c>
      <c r="G2193" s="410">
        <v>24.77</v>
      </c>
      <c r="H2193" s="398" t="s">
        <v>26</v>
      </c>
      <c r="I2193" s="399">
        <f t="shared" ref="I2193:I2209" si="96">PRODUCT(C2193:H2193)</f>
        <v>1240.23</v>
      </c>
      <c r="J2193" s="396"/>
    </row>
    <row r="2194" spans="1:10" s="367" customFormat="1" ht="22.5" customHeight="1">
      <c r="A2194" s="395"/>
      <c r="B2194" s="401" t="s">
        <v>1359</v>
      </c>
      <c r="C2194" s="397">
        <v>1</v>
      </c>
      <c r="D2194" s="397">
        <v>1</v>
      </c>
      <c r="E2194" s="397">
        <v>1</v>
      </c>
      <c r="F2194" s="410">
        <v>186.17</v>
      </c>
      <c r="G2194" s="410" t="s">
        <v>26</v>
      </c>
      <c r="H2194" s="398">
        <v>0.125</v>
      </c>
      <c r="I2194" s="399">
        <f t="shared" si="96"/>
        <v>23.27</v>
      </c>
      <c r="J2194" s="396"/>
    </row>
    <row r="2195" spans="1:10" s="367" customFormat="1" ht="22.5" customHeight="1">
      <c r="A2195" s="395"/>
      <c r="B2195" s="401" t="s">
        <v>1401</v>
      </c>
      <c r="C2195" s="397">
        <v>1</v>
      </c>
      <c r="D2195" s="397">
        <v>1</v>
      </c>
      <c r="E2195" s="397">
        <v>6</v>
      </c>
      <c r="F2195" s="410">
        <v>10</v>
      </c>
      <c r="G2195" s="410" t="s">
        <v>26</v>
      </c>
      <c r="H2195" s="398">
        <v>0.125</v>
      </c>
      <c r="I2195" s="399">
        <f t="shared" si="96"/>
        <v>7.5</v>
      </c>
      <c r="J2195" s="396"/>
    </row>
    <row r="2196" spans="1:10" s="367" customFormat="1" ht="22.5" customHeight="1">
      <c r="A2196" s="395"/>
      <c r="B2196" s="401" t="s">
        <v>1401</v>
      </c>
      <c r="C2196" s="397">
        <v>1</v>
      </c>
      <c r="D2196" s="397">
        <v>1</v>
      </c>
      <c r="E2196" s="397">
        <v>2</v>
      </c>
      <c r="F2196" s="410">
        <v>8.8000000000000007</v>
      </c>
      <c r="G2196" s="410" t="s">
        <v>26</v>
      </c>
      <c r="H2196" s="398">
        <v>0.125</v>
      </c>
      <c r="I2196" s="399">
        <f t="shared" si="96"/>
        <v>2.2000000000000002</v>
      </c>
      <c r="J2196" s="396"/>
    </row>
    <row r="2197" spans="1:10" s="367" customFormat="1" ht="22.5" customHeight="1">
      <c r="A2197" s="395"/>
      <c r="B2197" s="401" t="s">
        <v>1401</v>
      </c>
      <c r="C2197" s="397">
        <v>1</v>
      </c>
      <c r="D2197" s="397">
        <v>1</v>
      </c>
      <c r="E2197" s="397">
        <v>2</v>
      </c>
      <c r="F2197" s="410">
        <v>9.0500000000000007</v>
      </c>
      <c r="G2197" s="410" t="s">
        <v>26</v>
      </c>
      <c r="H2197" s="398">
        <v>0.125</v>
      </c>
      <c r="I2197" s="399">
        <f t="shared" si="96"/>
        <v>2.2599999999999998</v>
      </c>
      <c r="J2197" s="396"/>
    </row>
    <row r="2198" spans="1:10" s="367" customFormat="1" ht="22.5" customHeight="1">
      <c r="A2198" s="395"/>
      <c r="B2198" s="401" t="s">
        <v>1402</v>
      </c>
      <c r="C2198" s="397">
        <v>1</v>
      </c>
      <c r="D2198" s="397">
        <v>1</v>
      </c>
      <c r="E2198" s="397">
        <v>10</v>
      </c>
      <c r="F2198" s="410">
        <v>4.37</v>
      </c>
      <c r="G2198" s="398" t="s">
        <v>26</v>
      </c>
      <c r="H2198" s="398">
        <v>0.125</v>
      </c>
      <c r="I2198" s="399">
        <f t="shared" si="96"/>
        <v>5.46</v>
      </c>
      <c r="J2198" s="396"/>
    </row>
    <row r="2199" spans="1:10" s="367" customFormat="1" ht="22.5" customHeight="1">
      <c r="A2199" s="395"/>
      <c r="B2199" s="401" t="s">
        <v>971</v>
      </c>
      <c r="C2199" s="397">
        <v>1</v>
      </c>
      <c r="D2199" s="397">
        <v>1</v>
      </c>
      <c r="E2199" s="397">
        <v>2</v>
      </c>
      <c r="F2199" s="398">
        <v>3.81</v>
      </c>
      <c r="G2199" s="398" t="s">
        <v>26</v>
      </c>
      <c r="H2199" s="398">
        <v>0.125</v>
      </c>
      <c r="I2199" s="399">
        <f t="shared" si="96"/>
        <v>0.95</v>
      </c>
      <c r="J2199" s="396"/>
    </row>
    <row r="2200" spans="1:10" s="367" customFormat="1" ht="22.5" customHeight="1">
      <c r="A2200" s="395"/>
      <c r="B2200" s="401" t="s">
        <v>1403</v>
      </c>
      <c r="C2200" s="397">
        <v>1</v>
      </c>
      <c r="D2200" s="397">
        <v>1</v>
      </c>
      <c r="E2200" s="397">
        <v>2</v>
      </c>
      <c r="F2200" s="398">
        <v>3.26</v>
      </c>
      <c r="G2200" s="398" t="s">
        <v>26</v>
      </c>
      <c r="H2200" s="398">
        <v>0.125</v>
      </c>
      <c r="I2200" s="399">
        <f t="shared" si="96"/>
        <v>0.82</v>
      </c>
      <c r="J2200" s="396"/>
    </row>
    <row r="2201" spans="1:10" s="367" customFormat="1" ht="22.5" customHeight="1">
      <c r="A2201" s="395"/>
      <c r="B2201" s="401" t="s">
        <v>1403</v>
      </c>
      <c r="C2201" s="397">
        <v>1</v>
      </c>
      <c r="D2201" s="397">
        <v>1</v>
      </c>
      <c r="E2201" s="397">
        <v>4</v>
      </c>
      <c r="F2201" s="398">
        <v>2.77</v>
      </c>
      <c r="G2201" s="398" t="s">
        <v>26</v>
      </c>
      <c r="H2201" s="398">
        <v>0.125</v>
      </c>
      <c r="I2201" s="399">
        <f t="shared" si="96"/>
        <v>1.39</v>
      </c>
      <c r="J2201" s="396"/>
    </row>
    <row r="2202" spans="1:10" s="367" customFormat="1" ht="22.5" customHeight="1">
      <c r="A2202" s="395"/>
      <c r="B2202" s="401" t="s">
        <v>1403</v>
      </c>
      <c r="C2202" s="397">
        <v>1</v>
      </c>
      <c r="D2202" s="397">
        <v>1</v>
      </c>
      <c r="E2202" s="397">
        <v>2</v>
      </c>
      <c r="F2202" s="398">
        <v>3.8</v>
      </c>
      <c r="G2202" s="398" t="s">
        <v>26</v>
      </c>
      <c r="H2202" s="398">
        <v>0.125</v>
      </c>
      <c r="I2202" s="399">
        <f t="shared" si="96"/>
        <v>0.95</v>
      </c>
      <c r="J2202" s="396"/>
    </row>
    <row r="2203" spans="1:10" s="367" customFormat="1" ht="22.5" customHeight="1">
      <c r="A2203" s="395"/>
      <c r="B2203" s="401" t="s">
        <v>1403</v>
      </c>
      <c r="C2203" s="397">
        <v>1</v>
      </c>
      <c r="D2203" s="397">
        <v>1</v>
      </c>
      <c r="E2203" s="397">
        <v>2</v>
      </c>
      <c r="F2203" s="398">
        <v>3.28</v>
      </c>
      <c r="G2203" s="398" t="s">
        <v>26</v>
      </c>
      <c r="H2203" s="398">
        <v>0.125</v>
      </c>
      <c r="I2203" s="399">
        <f t="shared" si="96"/>
        <v>0.82</v>
      </c>
      <c r="J2203" s="396"/>
    </row>
    <row r="2204" spans="1:10" s="367" customFormat="1" ht="22.5" customHeight="1">
      <c r="A2204" s="395"/>
      <c r="B2204" s="401" t="s">
        <v>1404</v>
      </c>
      <c r="C2204" s="397">
        <v>1</v>
      </c>
      <c r="D2204" s="397">
        <v>1</v>
      </c>
      <c r="E2204" s="397">
        <v>2</v>
      </c>
      <c r="F2204" s="398">
        <v>3.06</v>
      </c>
      <c r="G2204" s="398" t="s">
        <v>26</v>
      </c>
      <c r="H2204" s="398">
        <v>0.125</v>
      </c>
      <c r="I2204" s="399">
        <f t="shared" si="96"/>
        <v>0.77</v>
      </c>
      <c r="J2204" s="396"/>
    </row>
    <row r="2205" spans="1:10" s="367" customFormat="1" ht="22.5" customHeight="1">
      <c r="A2205" s="395"/>
      <c r="B2205" s="401" t="s">
        <v>1405</v>
      </c>
      <c r="C2205" s="397">
        <v>1</v>
      </c>
      <c r="D2205" s="397">
        <v>1</v>
      </c>
      <c r="E2205" s="397">
        <v>2</v>
      </c>
      <c r="F2205" s="398">
        <v>4.6100000000000003</v>
      </c>
      <c r="G2205" s="398" t="s">
        <v>26</v>
      </c>
      <c r="H2205" s="398">
        <v>0.125</v>
      </c>
      <c r="I2205" s="399">
        <f t="shared" si="96"/>
        <v>1.1499999999999999</v>
      </c>
      <c r="J2205" s="396"/>
    </row>
    <row r="2206" spans="1:10" s="367" customFormat="1" ht="22.5" customHeight="1">
      <c r="A2206" s="395"/>
      <c r="B2206" s="401" t="s">
        <v>1470</v>
      </c>
      <c r="C2206" s="397">
        <v>1</v>
      </c>
      <c r="D2206" s="397">
        <v>1</v>
      </c>
      <c r="E2206" s="397">
        <v>2</v>
      </c>
      <c r="F2206" s="410">
        <v>9</v>
      </c>
      <c r="G2206" s="410" t="s">
        <v>26</v>
      </c>
      <c r="H2206" s="398">
        <v>0.125</v>
      </c>
      <c r="I2206" s="399">
        <f t="shared" si="96"/>
        <v>2.25</v>
      </c>
      <c r="J2206" s="396"/>
    </row>
    <row r="2207" spans="1:10" s="367" customFormat="1" ht="22.5" customHeight="1">
      <c r="A2207" s="395"/>
      <c r="B2207" s="401" t="s">
        <v>1471</v>
      </c>
      <c r="C2207" s="397">
        <v>1</v>
      </c>
      <c r="D2207" s="397">
        <v>1</v>
      </c>
      <c r="E2207" s="397">
        <v>1</v>
      </c>
      <c r="F2207" s="410">
        <v>10.6</v>
      </c>
      <c r="G2207" s="410" t="s">
        <v>26</v>
      </c>
      <c r="H2207" s="398">
        <v>0.125</v>
      </c>
      <c r="I2207" s="399">
        <f t="shared" si="96"/>
        <v>1.33</v>
      </c>
      <c r="J2207" s="396"/>
    </row>
    <row r="2208" spans="1:10" s="367" customFormat="1" ht="22.5" customHeight="1">
      <c r="A2208" s="395"/>
      <c r="B2208" s="401" t="s">
        <v>1472</v>
      </c>
      <c r="C2208" s="397">
        <v>1</v>
      </c>
      <c r="D2208" s="397">
        <v>1</v>
      </c>
      <c r="E2208" s="397">
        <v>2</v>
      </c>
      <c r="F2208" s="410">
        <v>11.26</v>
      </c>
      <c r="G2208" s="410" t="s">
        <v>26</v>
      </c>
      <c r="H2208" s="398">
        <v>0.125</v>
      </c>
      <c r="I2208" s="399">
        <f t="shared" si="96"/>
        <v>2.82</v>
      </c>
      <c r="J2208" s="396"/>
    </row>
    <row r="2209" spans="1:10" s="367" customFormat="1" ht="22.5" customHeight="1">
      <c r="A2209" s="395"/>
      <c r="B2209" s="401" t="s">
        <v>1473</v>
      </c>
      <c r="C2209" s="397">
        <v>1</v>
      </c>
      <c r="D2209" s="397">
        <v>1</v>
      </c>
      <c r="E2209" s="397">
        <v>1</v>
      </c>
      <c r="F2209" s="410">
        <v>11.96</v>
      </c>
      <c r="G2209" s="410" t="s">
        <v>26</v>
      </c>
      <c r="H2209" s="398">
        <v>0.125</v>
      </c>
      <c r="I2209" s="399">
        <f t="shared" si="96"/>
        <v>1.5</v>
      </c>
      <c r="J2209" s="396"/>
    </row>
    <row r="2210" spans="1:10" s="367" customFormat="1" ht="22.5" customHeight="1">
      <c r="A2210" s="395"/>
      <c r="B2210" s="396" t="s">
        <v>1474</v>
      </c>
      <c r="C2210" s="397"/>
      <c r="D2210" s="397"/>
      <c r="E2210" s="397"/>
      <c r="F2210" s="410"/>
      <c r="G2210" s="410"/>
      <c r="H2210" s="398"/>
      <c r="I2210" s="399"/>
      <c r="J2210" s="396"/>
    </row>
    <row r="2211" spans="1:10" s="367" customFormat="1" ht="22.5" customHeight="1">
      <c r="A2211" s="395"/>
      <c r="B2211" s="401" t="s">
        <v>303</v>
      </c>
      <c r="C2211" s="397">
        <v>1</v>
      </c>
      <c r="D2211" s="397">
        <v>1</v>
      </c>
      <c r="E2211" s="397">
        <v>5</v>
      </c>
      <c r="F2211" s="410">
        <v>0.45</v>
      </c>
      <c r="G2211" s="410">
        <v>7.0000000000000007E-2</v>
      </c>
      <c r="H2211" s="398" t="s">
        <v>26</v>
      </c>
      <c r="I2211" s="399">
        <f>PRODUCT(C2211:H2211)</f>
        <v>0.16</v>
      </c>
      <c r="J2211" s="396"/>
    </row>
    <row r="2212" spans="1:10" s="367" customFormat="1" ht="22.5" customHeight="1">
      <c r="A2212" s="395"/>
      <c r="B2212" s="401" t="s">
        <v>1360</v>
      </c>
      <c r="C2212" s="397">
        <v>1</v>
      </c>
      <c r="D2212" s="397">
        <v>1</v>
      </c>
      <c r="E2212" s="397">
        <v>2</v>
      </c>
      <c r="F2212" s="410">
        <v>0.6</v>
      </c>
      <c r="G2212" s="410">
        <v>7.0000000000000007E-2</v>
      </c>
      <c r="H2212" s="398" t="s">
        <v>26</v>
      </c>
      <c r="I2212" s="399">
        <f>PRODUCT(C2212:H2212)</f>
        <v>0.08</v>
      </c>
      <c r="J2212" s="396"/>
    </row>
    <row r="2213" spans="1:10" s="367" customFormat="1" ht="22.5" customHeight="1">
      <c r="A2213" s="395"/>
      <c r="B2213" s="396" t="s">
        <v>1475</v>
      </c>
      <c r="C2213" s="397"/>
      <c r="D2213" s="397"/>
      <c r="E2213" s="397"/>
      <c r="F2213" s="410"/>
      <c r="G2213" s="410"/>
      <c r="H2213" s="410"/>
      <c r="I2213" s="399"/>
      <c r="J2213" s="396"/>
    </row>
    <row r="2214" spans="1:10" s="367" customFormat="1" ht="22.5" customHeight="1">
      <c r="A2214" s="395"/>
      <c r="B2214" s="401" t="s">
        <v>303</v>
      </c>
      <c r="C2214" s="397">
        <v>1</v>
      </c>
      <c r="D2214" s="397">
        <v>1</v>
      </c>
      <c r="E2214" s="397">
        <v>1</v>
      </c>
      <c r="F2214" s="410">
        <v>0.45</v>
      </c>
      <c r="G2214" s="410">
        <v>7.0000000000000007E-2</v>
      </c>
      <c r="H2214" s="398" t="s">
        <v>26</v>
      </c>
      <c r="I2214" s="399">
        <f>PRODUCT(C2214:H2214)</f>
        <v>0.03</v>
      </c>
      <c r="J2214" s="396"/>
    </row>
    <row r="2215" spans="1:10" s="367" customFormat="1" ht="22.5" customHeight="1">
      <c r="A2215" s="395"/>
      <c r="B2215" s="396" t="s">
        <v>1476</v>
      </c>
      <c r="C2215" s="397"/>
      <c r="D2215" s="397"/>
      <c r="E2215" s="397"/>
      <c r="F2215" s="410"/>
      <c r="G2215" s="410"/>
      <c r="H2215" s="398"/>
      <c r="I2215" s="399"/>
      <c r="J2215" s="396"/>
    </row>
    <row r="2216" spans="1:10" s="367" customFormat="1" ht="22.5" customHeight="1">
      <c r="A2216" s="395"/>
      <c r="B2216" s="401" t="s">
        <v>1360</v>
      </c>
      <c r="C2216" s="397">
        <v>1</v>
      </c>
      <c r="D2216" s="397">
        <v>1</v>
      </c>
      <c r="E2216" s="397">
        <v>7</v>
      </c>
      <c r="F2216" s="410">
        <v>0.6</v>
      </c>
      <c r="G2216" s="410">
        <v>7.0000000000000007E-2</v>
      </c>
      <c r="H2216" s="398" t="s">
        <v>26</v>
      </c>
      <c r="I2216" s="399">
        <f>PRODUCT(C2216:H2216)</f>
        <v>0.28999999999999998</v>
      </c>
      <c r="J2216" s="396"/>
    </row>
    <row r="2217" spans="1:10" s="367" customFormat="1" ht="22.5" customHeight="1">
      <c r="A2217" s="395"/>
      <c r="B2217" s="401" t="s">
        <v>302</v>
      </c>
      <c r="C2217" s="397">
        <v>1</v>
      </c>
      <c r="D2217" s="397">
        <v>1</v>
      </c>
      <c r="E2217" s="397">
        <v>14</v>
      </c>
      <c r="F2217" s="410">
        <v>0.75</v>
      </c>
      <c r="G2217" s="410">
        <v>7.0000000000000007E-2</v>
      </c>
      <c r="H2217" s="398" t="s">
        <v>26</v>
      </c>
      <c r="I2217" s="399">
        <f>PRODUCT(C2217:H2217)</f>
        <v>0.74</v>
      </c>
      <c r="J2217" s="396"/>
    </row>
    <row r="2218" spans="1:10" s="367" customFormat="1" ht="22.5" customHeight="1">
      <c r="A2218" s="395"/>
      <c r="B2218" s="401" t="s">
        <v>301</v>
      </c>
      <c r="C2218" s="397">
        <v>1</v>
      </c>
      <c r="D2218" s="397">
        <v>1</v>
      </c>
      <c r="E2218" s="397">
        <v>5</v>
      </c>
      <c r="F2218" s="410">
        <v>0.9</v>
      </c>
      <c r="G2218" s="410">
        <v>7.0000000000000007E-2</v>
      </c>
      <c r="H2218" s="398" t="s">
        <v>26</v>
      </c>
      <c r="I2218" s="399">
        <f>PRODUCT(C2218:H2218)</f>
        <v>0.32</v>
      </c>
      <c r="J2218" s="396"/>
    </row>
    <row r="2219" spans="1:10" s="367" customFormat="1" ht="22.5" customHeight="1">
      <c r="A2219" s="395"/>
      <c r="B2219" s="396" t="s">
        <v>1477</v>
      </c>
      <c r="C2219" s="397"/>
      <c r="D2219" s="397"/>
      <c r="E2219" s="397"/>
      <c r="F2219" s="410"/>
      <c r="G2219" s="410"/>
      <c r="H2219" s="398"/>
      <c r="I2219" s="399"/>
      <c r="J2219" s="396"/>
    </row>
    <row r="2220" spans="1:10" s="367" customFormat="1" ht="22.5" customHeight="1">
      <c r="A2220" s="395"/>
      <c r="B2220" s="401" t="s">
        <v>303</v>
      </c>
      <c r="C2220" s="397">
        <v>1</v>
      </c>
      <c r="D2220" s="397">
        <v>1</v>
      </c>
      <c r="E2220" s="397">
        <v>8</v>
      </c>
      <c r="F2220" s="410">
        <v>0.45</v>
      </c>
      <c r="G2220" s="410">
        <v>7.0000000000000007E-2</v>
      </c>
      <c r="H2220" s="398" t="s">
        <v>26</v>
      </c>
      <c r="I2220" s="399">
        <f>PRODUCT(C2220:H2220)</f>
        <v>0.25</v>
      </c>
      <c r="J2220" s="396"/>
    </row>
    <row r="2221" spans="1:10" s="367" customFormat="1" ht="22.5" customHeight="1">
      <c r="A2221" s="395"/>
      <c r="B2221" s="401" t="s">
        <v>1360</v>
      </c>
      <c r="C2221" s="397">
        <v>1</v>
      </c>
      <c r="D2221" s="397">
        <v>1</v>
      </c>
      <c r="E2221" s="397">
        <v>12</v>
      </c>
      <c r="F2221" s="410">
        <v>0.6</v>
      </c>
      <c r="G2221" s="410">
        <v>7.0000000000000007E-2</v>
      </c>
      <c r="H2221" s="398" t="s">
        <v>26</v>
      </c>
      <c r="I2221" s="399">
        <f>PRODUCT(C2221:H2221)</f>
        <v>0.5</v>
      </c>
      <c r="J2221" s="396"/>
    </row>
    <row r="2222" spans="1:10" s="367" customFormat="1" ht="22.5" customHeight="1">
      <c r="A2222" s="395"/>
      <c r="B2222" s="396" t="s">
        <v>1478</v>
      </c>
      <c r="C2222" s="397"/>
      <c r="D2222" s="397"/>
      <c r="E2222" s="397"/>
      <c r="F2222" s="410"/>
      <c r="G2222" s="410"/>
      <c r="H2222" s="398"/>
      <c r="I2222" s="399"/>
      <c r="J2222" s="396"/>
    </row>
    <row r="2223" spans="1:10" s="367" customFormat="1" ht="22.5" customHeight="1">
      <c r="A2223" s="395"/>
      <c r="B2223" s="401" t="s">
        <v>303</v>
      </c>
      <c r="C2223" s="397">
        <v>1</v>
      </c>
      <c r="D2223" s="397">
        <v>1</v>
      </c>
      <c r="E2223" s="397">
        <v>2</v>
      </c>
      <c r="F2223" s="410">
        <v>0.45</v>
      </c>
      <c r="G2223" s="410">
        <v>7.0000000000000007E-2</v>
      </c>
      <c r="H2223" s="398" t="s">
        <v>26</v>
      </c>
      <c r="I2223" s="399">
        <f>PRODUCT(C2223:H2223)</f>
        <v>0.06</v>
      </c>
      <c r="J2223" s="396"/>
    </row>
    <row r="2224" spans="1:10" s="367" customFormat="1" ht="22.5" customHeight="1">
      <c r="A2224" s="395"/>
      <c r="B2224" s="401" t="s">
        <v>302</v>
      </c>
      <c r="C2224" s="397">
        <v>1</v>
      </c>
      <c r="D2224" s="397">
        <v>1</v>
      </c>
      <c r="E2224" s="397">
        <v>10</v>
      </c>
      <c r="F2224" s="410">
        <v>0.75</v>
      </c>
      <c r="G2224" s="410">
        <v>7.0000000000000007E-2</v>
      </c>
      <c r="H2224" s="398" t="s">
        <v>26</v>
      </c>
      <c r="I2224" s="399">
        <f>PRODUCT(C2224:H2224)</f>
        <v>0.53</v>
      </c>
      <c r="J2224" s="396"/>
    </row>
    <row r="2225" spans="1:10" s="367" customFormat="1" ht="22.5" customHeight="1">
      <c r="A2225" s="395"/>
      <c r="B2225" s="401" t="s">
        <v>301</v>
      </c>
      <c r="C2225" s="397">
        <v>1</v>
      </c>
      <c r="D2225" s="397">
        <v>1</v>
      </c>
      <c r="E2225" s="397">
        <v>10</v>
      </c>
      <c r="F2225" s="410">
        <v>0.9</v>
      </c>
      <c r="G2225" s="410">
        <v>7.0000000000000007E-2</v>
      </c>
      <c r="H2225" s="398" t="s">
        <v>26</v>
      </c>
      <c r="I2225" s="399">
        <f>PRODUCT(C2225:H2225)</f>
        <v>0.63</v>
      </c>
      <c r="J2225" s="396"/>
    </row>
    <row r="2226" spans="1:10" s="367" customFormat="1" ht="22.5" customHeight="1">
      <c r="A2226" s="395"/>
      <c r="B2226" s="396" t="s">
        <v>1479</v>
      </c>
      <c r="C2226" s="397"/>
      <c r="D2226" s="397"/>
      <c r="E2226" s="397"/>
      <c r="F2226" s="410"/>
      <c r="G2226" s="410"/>
      <c r="H2226" s="398"/>
      <c r="I2226" s="399"/>
      <c r="J2226" s="396"/>
    </row>
    <row r="2227" spans="1:10" s="367" customFormat="1" ht="22.5" customHeight="1">
      <c r="A2227" s="395"/>
      <c r="B2227" s="401" t="s">
        <v>303</v>
      </c>
      <c r="C2227" s="397">
        <v>1</v>
      </c>
      <c r="D2227" s="397">
        <v>1</v>
      </c>
      <c r="E2227" s="397">
        <v>10</v>
      </c>
      <c r="F2227" s="410">
        <v>0.45</v>
      </c>
      <c r="G2227" s="410">
        <v>7.0000000000000007E-2</v>
      </c>
      <c r="H2227" s="398" t="s">
        <v>26</v>
      </c>
      <c r="I2227" s="399">
        <f>PRODUCT(C2227:H2227)</f>
        <v>0.32</v>
      </c>
      <c r="J2227" s="396"/>
    </row>
    <row r="2228" spans="1:10" s="367" customFormat="1" ht="22.5" customHeight="1">
      <c r="A2228" s="395"/>
      <c r="B2228" s="401" t="s">
        <v>1360</v>
      </c>
      <c r="C2228" s="397">
        <v>1</v>
      </c>
      <c r="D2228" s="397">
        <v>1</v>
      </c>
      <c r="E2228" s="397">
        <v>20</v>
      </c>
      <c r="F2228" s="410">
        <v>0.6</v>
      </c>
      <c r="G2228" s="410">
        <v>7.0000000000000007E-2</v>
      </c>
      <c r="H2228" s="398" t="s">
        <v>26</v>
      </c>
      <c r="I2228" s="399">
        <f>PRODUCT(C2228:H2228)</f>
        <v>0.84</v>
      </c>
      <c r="J2228" s="396"/>
    </row>
    <row r="2229" spans="1:10" s="367" customFormat="1" ht="22.5" customHeight="1">
      <c r="A2229" s="395"/>
      <c r="B2229" s="396" t="s">
        <v>1480</v>
      </c>
      <c r="C2229" s="397"/>
      <c r="D2229" s="397"/>
      <c r="E2229" s="397"/>
      <c r="F2229" s="410"/>
      <c r="G2229" s="410"/>
      <c r="H2229" s="398"/>
      <c r="I2229" s="399"/>
      <c r="J2229" s="396"/>
    </row>
    <row r="2230" spans="1:10" s="367" customFormat="1" ht="22.5" customHeight="1">
      <c r="A2230" s="395"/>
      <c r="B2230" s="396" t="s">
        <v>1379</v>
      </c>
      <c r="C2230" s="397"/>
      <c r="D2230" s="397"/>
      <c r="E2230" s="397"/>
      <c r="F2230" s="410"/>
      <c r="G2230" s="410"/>
      <c r="H2230" s="410"/>
      <c r="I2230" s="399"/>
      <c r="J2230" s="396"/>
    </row>
    <row r="2231" spans="1:10" s="367" customFormat="1" ht="22.5" customHeight="1">
      <c r="A2231" s="395"/>
      <c r="B2231" s="401" t="s">
        <v>1481</v>
      </c>
      <c r="C2231" s="397">
        <v>2</v>
      </c>
      <c r="D2231" s="397">
        <v>1</v>
      </c>
      <c r="E2231" s="397">
        <v>5</v>
      </c>
      <c r="F2231" s="410">
        <v>47.03</v>
      </c>
      <c r="G2231" s="410" t="s">
        <v>26</v>
      </c>
      <c r="H2231" s="398">
        <v>0.27500000000000002</v>
      </c>
      <c r="I2231" s="399">
        <f t="shared" ref="I2231:I2255" si="97">PRODUCT(C2231:H2231)</f>
        <v>129.33000000000001</v>
      </c>
      <c r="J2231" s="396"/>
    </row>
    <row r="2232" spans="1:10" s="367" customFormat="1" ht="22.5" customHeight="1">
      <c r="A2232" s="395"/>
      <c r="B2232" s="401" t="s">
        <v>1482</v>
      </c>
      <c r="C2232" s="397">
        <v>2</v>
      </c>
      <c r="D2232" s="397">
        <v>1</v>
      </c>
      <c r="E2232" s="397">
        <v>5</v>
      </c>
      <c r="F2232" s="410">
        <v>8.9</v>
      </c>
      <c r="G2232" s="410" t="s">
        <v>26</v>
      </c>
      <c r="H2232" s="398">
        <v>0.27500000000000002</v>
      </c>
      <c r="I2232" s="399">
        <f t="shared" si="97"/>
        <v>24.48</v>
      </c>
      <c r="J2232" s="396"/>
    </row>
    <row r="2233" spans="1:10" s="367" customFormat="1" ht="22.5" customHeight="1">
      <c r="A2233" s="395"/>
      <c r="B2233" s="401" t="s">
        <v>1482</v>
      </c>
      <c r="C2233" s="397">
        <v>2</v>
      </c>
      <c r="D2233" s="397">
        <v>1</v>
      </c>
      <c r="E2233" s="397">
        <v>10</v>
      </c>
      <c r="F2233" s="410">
        <v>8.9</v>
      </c>
      <c r="G2233" s="410" t="s">
        <v>26</v>
      </c>
      <c r="H2233" s="398">
        <v>0.47499999999999998</v>
      </c>
      <c r="I2233" s="399">
        <f t="shared" si="97"/>
        <v>84.55</v>
      </c>
      <c r="J2233" s="396"/>
    </row>
    <row r="2234" spans="1:10" s="367" customFormat="1" ht="22.5" customHeight="1">
      <c r="A2234" s="395"/>
      <c r="B2234" s="401" t="s">
        <v>1382</v>
      </c>
      <c r="C2234" s="397">
        <v>2</v>
      </c>
      <c r="D2234" s="397">
        <v>1</v>
      </c>
      <c r="E2234" s="397">
        <v>10</v>
      </c>
      <c r="F2234" s="410">
        <v>3.35</v>
      </c>
      <c r="G2234" s="410" t="s">
        <v>26</v>
      </c>
      <c r="H2234" s="398">
        <v>0.27500000000000002</v>
      </c>
      <c r="I2234" s="399">
        <f t="shared" si="97"/>
        <v>18.43</v>
      </c>
      <c r="J2234" s="396"/>
    </row>
    <row r="2235" spans="1:10" s="367" customFormat="1" ht="33">
      <c r="A2235" s="395"/>
      <c r="B2235" s="401" t="s">
        <v>1483</v>
      </c>
      <c r="C2235" s="397">
        <v>2</v>
      </c>
      <c r="D2235" s="397">
        <v>3</v>
      </c>
      <c r="E2235" s="397">
        <v>10</v>
      </c>
      <c r="F2235" s="410">
        <v>3.39</v>
      </c>
      <c r="G2235" s="410" t="s">
        <v>26</v>
      </c>
      <c r="H2235" s="398">
        <v>0.47499999999999998</v>
      </c>
      <c r="I2235" s="399">
        <f t="shared" si="97"/>
        <v>96.62</v>
      </c>
      <c r="J2235" s="396"/>
    </row>
    <row r="2236" spans="1:10" s="367" customFormat="1" ht="16.5">
      <c r="A2236" s="395"/>
      <c r="B2236" s="401" t="s">
        <v>1383</v>
      </c>
      <c r="C2236" s="397">
        <v>2</v>
      </c>
      <c r="D2236" s="397">
        <v>1</v>
      </c>
      <c r="E2236" s="397">
        <v>10</v>
      </c>
      <c r="F2236" s="410">
        <v>2.57</v>
      </c>
      <c r="G2236" s="410" t="s">
        <v>26</v>
      </c>
      <c r="H2236" s="398">
        <v>0.27500000000000002</v>
      </c>
      <c r="I2236" s="399">
        <f t="shared" si="97"/>
        <v>14.14</v>
      </c>
      <c r="J2236" s="396"/>
    </row>
    <row r="2237" spans="1:10" s="367" customFormat="1" ht="22.5" customHeight="1">
      <c r="A2237" s="395"/>
      <c r="B2237" s="401" t="s">
        <v>1484</v>
      </c>
      <c r="C2237" s="397">
        <v>2</v>
      </c>
      <c r="D2237" s="397">
        <v>1</v>
      </c>
      <c r="E2237" s="397">
        <v>10</v>
      </c>
      <c r="F2237" s="410">
        <v>0.99</v>
      </c>
      <c r="G2237" s="410" t="s">
        <v>26</v>
      </c>
      <c r="H2237" s="398">
        <v>0.27500000000000002</v>
      </c>
      <c r="I2237" s="399">
        <f t="shared" si="97"/>
        <v>5.45</v>
      </c>
      <c r="J2237" s="396"/>
    </row>
    <row r="2238" spans="1:10" s="367" customFormat="1" ht="22.5" customHeight="1">
      <c r="A2238" s="395"/>
      <c r="B2238" s="401" t="s">
        <v>1485</v>
      </c>
      <c r="C2238" s="397">
        <v>2</v>
      </c>
      <c r="D2238" s="397">
        <v>1</v>
      </c>
      <c r="E2238" s="397">
        <v>24</v>
      </c>
      <c r="F2238" s="410">
        <v>1.9</v>
      </c>
      <c r="G2238" s="410" t="s">
        <v>26</v>
      </c>
      <c r="H2238" s="398">
        <v>0.17499999999999999</v>
      </c>
      <c r="I2238" s="399">
        <f t="shared" si="97"/>
        <v>15.96</v>
      </c>
      <c r="J2238" s="396"/>
    </row>
    <row r="2239" spans="1:10" s="367" customFormat="1" ht="22.5" customHeight="1">
      <c r="A2239" s="395"/>
      <c r="B2239" s="401" t="s">
        <v>1486</v>
      </c>
      <c r="C2239" s="397">
        <v>2</v>
      </c>
      <c r="D2239" s="397">
        <v>1</v>
      </c>
      <c r="E2239" s="397">
        <v>2</v>
      </c>
      <c r="F2239" s="410">
        <v>26.73</v>
      </c>
      <c r="G2239" s="410" t="s">
        <v>26</v>
      </c>
      <c r="H2239" s="398">
        <v>0.32500000000000001</v>
      </c>
      <c r="I2239" s="399">
        <f t="shared" si="97"/>
        <v>34.75</v>
      </c>
      <c r="J2239" s="396"/>
    </row>
    <row r="2240" spans="1:10" s="367" customFormat="1" ht="22.5" customHeight="1">
      <c r="A2240" s="395"/>
      <c r="B2240" s="401" t="s">
        <v>1487</v>
      </c>
      <c r="C2240" s="397">
        <v>2</v>
      </c>
      <c r="D2240" s="397">
        <v>1</v>
      </c>
      <c r="E2240" s="397">
        <v>1</v>
      </c>
      <c r="F2240" s="410">
        <v>7.62</v>
      </c>
      <c r="G2240" s="410" t="s">
        <v>26</v>
      </c>
      <c r="H2240" s="398">
        <v>0.47499999999999998</v>
      </c>
      <c r="I2240" s="399">
        <f t="shared" si="97"/>
        <v>7.24</v>
      </c>
      <c r="J2240" s="396"/>
    </row>
    <row r="2241" spans="1:10" s="367" customFormat="1" ht="22.5" customHeight="1">
      <c r="A2241" s="395"/>
      <c r="B2241" s="401" t="s">
        <v>1488</v>
      </c>
      <c r="C2241" s="397">
        <v>2</v>
      </c>
      <c r="D2241" s="397">
        <v>1</v>
      </c>
      <c r="E2241" s="397">
        <v>1</v>
      </c>
      <c r="F2241" s="410">
        <v>8.39</v>
      </c>
      <c r="G2241" s="410" t="s">
        <v>26</v>
      </c>
      <c r="H2241" s="398">
        <v>0.47499999999999998</v>
      </c>
      <c r="I2241" s="399">
        <f t="shared" si="97"/>
        <v>7.97</v>
      </c>
      <c r="J2241" s="396"/>
    </row>
    <row r="2242" spans="1:10" s="367" customFormat="1" ht="22.5" customHeight="1">
      <c r="A2242" s="395"/>
      <c r="B2242" s="401" t="s">
        <v>1489</v>
      </c>
      <c r="C2242" s="397">
        <v>2</v>
      </c>
      <c r="D2242" s="397">
        <v>1</v>
      </c>
      <c r="E2242" s="397">
        <v>1</v>
      </c>
      <c r="F2242" s="410">
        <v>6.06</v>
      </c>
      <c r="G2242" s="410" t="s">
        <v>26</v>
      </c>
      <c r="H2242" s="398">
        <v>0.17499999999999999</v>
      </c>
      <c r="I2242" s="399">
        <f t="shared" si="97"/>
        <v>2.12</v>
      </c>
      <c r="J2242" s="396"/>
    </row>
    <row r="2243" spans="1:10" s="367" customFormat="1" ht="22.5" customHeight="1">
      <c r="A2243" s="395"/>
      <c r="B2243" s="401" t="s">
        <v>1489</v>
      </c>
      <c r="C2243" s="397">
        <v>2</v>
      </c>
      <c r="D2243" s="397">
        <v>1</v>
      </c>
      <c r="E2243" s="397">
        <v>2</v>
      </c>
      <c r="F2243" s="410">
        <v>2.85</v>
      </c>
      <c r="G2243" s="410" t="s">
        <v>26</v>
      </c>
      <c r="H2243" s="398">
        <v>0.47499999999999998</v>
      </c>
      <c r="I2243" s="399">
        <f t="shared" si="97"/>
        <v>5.42</v>
      </c>
      <c r="J2243" s="396"/>
    </row>
    <row r="2244" spans="1:10" s="367" customFormat="1" ht="16.5">
      <c r="A2244" s="395"/>
      <c r="B2244" s="401" t="s">
        <v>1490</v>
      </c>
      <c r="C2244" s="397">
        <v>2</v>
      </c>
      <c r="D2244" s="397">
        <v>1</v>
      </c>
      <c r="E2244" s="397">
        <v>1</v>
      </c>
      <c r="F2244" s="410">
        <v>4.2300000000000004</v>
      </c>
      <c r="G2244" s="410" t="s">
        <v>26</v>
      </c>
      <c r="H2244" s="398">
        <v>0.47499999999999998</v>
      </c>
      <c r="I2244" s="399">
        <f t="shared" si="97"/>
        <v>4.0199999999999996</v>
      </c>
      <c r="J2244" s="396"/>
    </row>
    <row r="2245" spans="1:10" s="367" customFormat="1" ht="22.5" customHeight="1">
      <c r="A2245" s="395"/>
      <c r="B2245" s="401" t="s">
        <v>1491</v>
      </c>
      <c r="C2245" s="397">
        <v>2</v>
      </c>
      <c r="D2245" s="397">
        <v>1</v>
      </c>
      <c r="E2245" s="397">
        <v>2</v>
      </c>
      <c r="F2245" s="410">
        <v>3.76</v>
      </c>
      <c r="G2245" s="410" t="s">
        <v>26</v>
      </c>
      <c r="H2245" s="398">
        <v>0.32500000000000001</v>
      </c>
      <c r="I2245" s="399">
        <f t="shared" si="97"/>
        <v>4.8899999999999997</v>
      </c>
      <c r="J2245" s="396"/>
    </row>
    <row r="2246" spans="1:10" s="367" customFormat="1" ht="22.5" customHeight="1">
      <c r="A2246" s="395"/>
      <c r="B2246" s="401" t="s">
        <v>1492</v>
      </c>
      <c r="C2246" s="397">
        <v>2</v>
      </c>
      <c r="D2246" s="397">
        <v>1</v>
      </c>
      <c r="E2246" s="397">
        <v>1</v>
      </c>
      <c r="F2246" s="410">
        <v>3.7</v>
      </c>
      <c r="G2246" s="410" t="s">
        <v>26</v>
      </c>
      <c r="H2246" s="398">
        <v>0.32500000000000001</v>
      </c>
      <c r="I2246" s="399">
        <f t="shared" si="97"/>
        <v>2.41</v>
      </c>
      <c r="J2246" s="396"/>
    </row>
    <row r="2247" spans="1:10" s="367" customFormat="1" ht="22.5" customHeight="1">
      <c r="A2247" s="395"/>
      <c r="B2247" s="401" t="s">
        <v>1493</v>
      </c>
      <c r="C2247" s="397">
        <v>2</v>
      </c>
      <c r="D2247" s="397">
        <v>1</v>
      </c>
      <c r="E2247" s="397">
        <v>2</v>
      </c>
      <c r="F2247" s="410">
        <v>2.5299999999999998</v>
      </c>
      <c r="G2247" s="410" t="s">
        <v>26</v>
      </c>
      <c r="H2247" s="398">
        <v>0.17499999999999999</v>
      </c>
      <c r="I2247" s="399">
        <f t="shared" si="97"/>
        <v>1.77</v>
      </c>
      <c r="J2247" s="396"/>
    </row>
    <row r="2248" spans="1:10" s="367" customFormat="1" ht="22.5" customHeight="1">
      <c r="A2248" s="395"/>
      <c r="B2248" s="401" t="s">
        <v>1494</v>
      </c>
      <c r="C2248" s="397">
        <v>2</v>
      </c>
      <c r="D2248" s="397">
        <v>1</v>
      </c>
      <c r="E2248" s="397">
        <v>1</v>
      </c>
      <c r="F2248" s="410">
        <v>3.69</v>
      </c>
      <c r="G2248" s="410" t="s">
        <v>26</v>
      </c>
      <c r="H2248" s="398">
        <v>0.32500000000000001</v>
      </c>
      <c r="I2248" s="399">
        <f t="shared" si="97"/>
        <v>2.4</v>
      </c>
      <c r="J2248" s="396"/>
    </row>
    <row r="2249" spans="1:10" s="367" customFormat="1" ht="22.5" customHeight="1">
      <c r="A2249" s="395"/>
      <c r="B2249" s="401" t="s">
        <v>1495</v>
      </c>
      <c r="C2249" s="397">
        <v>2</v>
      </c>
      <c r="D2249" s="397">
        <v>1</v>
      </c>
      <c r="E2249" s="397">
        <v>2</v>
      </c>
      <c r="F2249" s="410">
        <v>3.31</v>
      </c>
      <c r="G2249" s="410" t="s">
        <v>26</v>
      </c>
      <c r="H2249" s="398">
        <v>0.27500000000000002</v>
      </c>
      <c r="I2249" s="399">
        <f t="shared" si="97"/>
        <v>3.64</v>
      </c>
      <c r="J2249" s="396"/>
    </row>
    <row r="2250" spans="1:10" s="367" customFormat="1" ht="22.5" customHeight="1">
      <c r="A2250" s="395"/>
      <c r="B2250" s="401" t="s">
        <v>1496</v>
      </c>
      <c r="C2250" s="397">
        <v>2</v>
      </c>
      <c r="D2250" s="397">
        <v>1</v>
      </c>
      <c r="E2250" s="397">
        <v>2</v>
      </c>
      <c r="F2250" s="410">
        <v>2.85</v>
      </c>
      <c r="G2250" s="410" t="s">
        <v>26</v>
      </c>
      <c r="H2250" s="398">
        <v>0.32500000000000001</v>
      </c>
      <c r="I2250" s="399">
        <f t="shared" si="97"/>
        <v>3.71</v>
      </c>
      <c r="J2250" s="396"/>
    </row>
    <row r="2251" spans="1:10" s="367" customFormat="1" ht="22.5" customHeight="1">
      <c r="A2251" s="395"/>
      <c r="B2251" s="401" t="s">
        <v>1497</v>
      </c>
      <c r="C2251" s="397">
        <v>2</v>
      </c>
      <c r="D2251" s="397">
        <v>1</v>
      </c>
      <c r="E2251" s="397">
        <v>2</v>
      </c>
      <c r="F2251" s="410">
        <v>3.67</v>
      </c>
      <c r="G2251" s="410" t="s">
        <v>26</v>
      </c>
      <c r="H2251" s="398">
        <v>0.32500000000000001</v>
      </c>
      <c r="I2251" s="399">
        <f t="shared" si="97"/>
        <v>4.7699999999999996</v>
      </c>
      <c r="J2251" s="396"/>
    </row>
    <row r="2252" spans="1:10" s="367" customFormat="1" ht="22.5" customHeight="1">
      <c r="A2252" s="395"/>
      <c r="B2252" s="401" t="s">
        <v>1498</v>
      </c>
      <c r="C2252" s="397">
        <v>2</v>
      </c>
      <c r="D2252" s="397">
        <v>1</v>
      </c>
      <c r="E2252" s="397">
        <v>2</v>
      </c>
      <c r="F2252" s="410">
        <v>5.23</v>
      </c>
      <c r="G2252" s="410" t="s">
        <v>26</v>
      </c>
      <c r="H2252" s="398">
        <v>0.32500000000000001</v>
      </c>
      <c r="I2252" s="399">
        <f t="shared" si="97"/>
        <v>6.8</v>
      </c>
      <c r="J2252" s="396"/>
    </row>
    <row r="2253" spans="1:10" s="367" customFormat="1" ht="22.5" customHeight="1">
      <c r="A2253" s="395"/>
      <c r="B2253" s="401" t="s">
        <v>1499</v>
      </c>
      <c r="C2253" s="397">
        <v>2</v>
      </c>
      <c r="D2253" s="397">
        <v>2</v>
      </c>
      <c r="E2253" s="397">
        <v>2</v>
      </c>
      <c r="F2253" s="410">
        <v>2.7</v>
      </c>
      <c r="G2253" s="410" t="s">
        <v>26</v>
      </c>
      <c r="H2253" s="398">
        <v>0.27500000000000002</v>
      </c>
      <c r="I2253" s="399">
        <f t="shared" si="97"/>
        <v>5.94</v>
      </c>
      <c r="J2253" s="396"/>
    </row>
    <row r="2254" spans="1:10" s="367" customFormat="1" ht="22.5" customHeight="1">
      <c r="A2254" s="395"/>
      <c r="B2254" s="401" t="s">
        <v>1410</v>
      </c>
      <c r="C2254" s="397">
        <v>1</v>
      </c>
      <c r="D2254" s="397">
        <v>2</v>
      </c>
      <c r="E2254" s="397">
        <v>2</v>
      </c>
      <c r="F2254" s="410">
        <v>2.8</v>
      </c>
      <c r="G2254" s="410" t="s">
        <v>26</v>
      </c>
      <c r="H2254" s="398">
        <v>0.32500000000000001</v>
      </c>
      <c r="I2254" s="399">
        <f t="shared" si="97"/>
        <v>3.64</v>
      </c>
      <c r="J2254" s="396"/>
    </row>
    <row r="2255" spans="1:10" s="367" customFormat="1" ht="22.5" customHeight="1">
      <c r="A2255" s="395"/>
      <c r="B2255" s="401" t="s">
        <v>1500</v>
      </c>
      <c r="C2255" s="397">
        <v>3</v>
      </c>
      <c r="D2255" s="397">
        <v>2</v>
      </c>
      <c r="E2255" s="397">
        <v>4</v>
      </c>
      <c r="F2255" s="410">
        <v>7.43</v>
      </c>
      <c r="G2255" s="410" t="s">
        <v>26</v>
      </c>
      <c r="H2255" s="398">
        <v>0.2</v>
      </c>
      <c r="I2255" s="399">
        <f t="shared" si="97"/>
        <v>35.659999999999997</v>
      </c>
      <c r="J2255" s="396"/>
    </row>
    <row r="2256" spans="1:10" s="367" customFormat="1" ht="22.5" customHeight="1">
      <c r="A2256" s="395"/>
      <c r="B2256" s="396" t="s">
        <v>944</v>
      </c>
      <c r="C2256" s="397"/>
      <c r="D2256" s="397"/>
      <c r="E2256" s="397"/>
      <c r="F2256" s="410"/>
      <c r="G2256" s="410"/>
      <c r="H2256" s="398"/>
      <c r="I2256" s="399"/>
      <c r="J2256" s="396"/>
    </row>
    <row r="2257" spans="1:10" s="367" customFormat="1" ht="22.5" customHeight="1">
      <c r="A2257" s="395"/>
      <c r="B2257" s="401" t="s">
        <v>994</v>
      </c>
      <c r="C2257" s="397">
        <v>-1</v>
      </c>
      <c r="D2257" s="397">
        <v>1</v>
      </c>
      <c r="E2257" s="397">
        <v>2</v>
      </c>
      <c r="F2257" s="410">
        <v>2.6</v>
      </c>
      <c r="G2257" s="410">
        <v>1.9</v>
      </c>
      <c r="H2257" s="398" t="s">
        <v>26</v>
      </c>
      <c r="I2257" s="399">
        <f t="shared" ref="I2257:I2282" si="98">PRODUCT(C2257:H2257)</f>
        <v>-9.8800000000000008</v>
      </c>
      <c r="J2257" s="396"/>
    </row>
    <row r="2258" spans="1:10" s="367" customFormat="1" ht="22.5" customHeight="1">
      <c r="A2258" s="395"/>
      <c r="B2258" s="401" t="s">
        <v>1331</v>
      </c>
      <c r="C2258" s="397">
        <v>-1</v>
      </c>
      <c r="D2258" s="397">
        <v>1</v>
      </c>
      <c r="E2258" s="397">
        <v>1</v>
      </c>
      <c r="F2258" s="410">
        <v>2.2999999999999998</v>
      </c>
      <c r="G2258" s="410">
        <v>3</v>
      </c>
      <c r="H2258" s="398" t="s">
        <v>26</v>
      </c>
      <c r="I2258" s="399">
        <f t="shared" si="98"/>
        <v>-6.9</v>
      </c>
      <c r="J2258" s="396"/>
    </row>
    <row r="2259" spans="1:10" s="367" customFormat="1" ht="22.5" customHeight="1">
      <c r="A2259" s="395"/>
      <c r="B2259" s="401" t="s">
        <v>1401</v>
      </c>
      <c r="C2259" s="397">
        <v>-1</v>
      </c>
      <c r="D2259" s="397">
        <v>1</v>
      </c>
      <c r="E2259" s="397">
        <v>6</v>
      </c>
      <c r="F2259" s="410">
        <v>3.1</v>
      </c>
      <c r="G2259" s="410">
        <v>1.9</v>
      </c>
      <c r="H2259" s="410" t="s">
        <v>26</v>
      </c>
      <c r="I2259" s="399">
        <f t="shared" si="98"/>
        <v>-35.340000000000003</v>
      </c>
      <c r="J2259" s="396"/>
    </row>
    <row r="2260" spans="1:10" s="367" customFormat="1" ht="22.5" customHeight="1">
      <c r="A2260" s="395"/>
      <c r="B2260" s="401" t="s">
        <v>1401</v>
      </c>
      <c r="C2260" s="397">
        <v>-1</v>
      </c>
      <c r="D2260" s="397">
        <v>1</v>
      </c>
      <c r="E2260" s="397">
        <v>2</v>
      </c>
      <c r="F2260" s="410">
        <v>2.5</v>
      </c>
      <c r="G2260" s="410">
        <v>1.9</v>
      </c>
      <c r="H2260" s="410" t="s">
        <v>26</v>
      </c>
      <c r="I2260" s="399">
        <f t="shared" si="98"/>
        <v>-9.5</v>
      </c>
      <c r="J2260" s="396"/>
    </row>
    <row r="2261" spans="1:10" s="367" customFormat="1" ht="22.5" customHeight="1">
      <c r="A2261" s="395"/>
      <c r="B2261" s="401" t="s">
        <v>1401</v>
      </c>
      <c r="C2261" s="397">
        <v>-1</v>
      </c>
      <c r="D2261" s="397">
        <v>1</v>
      </c>
      <c r="E2261" s="397">
        <v>2</v>
      </c>
      <c r="F2261" s="410">
        <v>1.86</v>
      </c>
      <c r="G2261" s="410">
        <v>1.9</v>
      </c>
      <c r="H2261" s="410" t="s">
        <v>26</v>
      </c>
      <c r="I2261" s="399">
        <f t="shared" si="98"/>
        <v>-7.07</v>
      </c>
      <c r="J2261" s="396"/>
    </row>
    <row r="2262" spans="1:10" s="367" customFormat="1" ht="22.5" customHeight="1">
      <c r="A2262" s="395"/>
      <c r="B2262" s="401" t="s">
        <v>1401</v>
      </c>
      <c r="C2262" s="397">
        <v>-1</v>
      </c>
      <c r="D2262" s="397">
        <v>1</v>
      </c>
      <c r="E2262" s="397">
        <v>2</v>
      </c>
      <c r="F2262" s="410">
        <v>1.23</v>
      </c>
      <c r="G2262" s="410">
        <v>0.67</v>
      </c>
      <c r="H2262" s="410" t="s">
        <v>26</v>
      </c>
      <c r="I2262" s="399">
        <f t="shared" si="98"/>
        <v>-1.65</v>
      </c>
      <c r="J2262" s="396"/>
    </row>
    <row r="2263" spans="1:10" s="367" customFormat="1" ht="22.5" customHeight="1">
      <c r="A2263" s="395"/>
      <c r="B2263" s="401" t="s">
        <v>1401</v>
      </c>
      <c r="C2263" s="397">
        <v>-1</v>
      </c>
      <c r="D2263" s="410">
        <v>0.5</v>
      </c>
      <c r="E2263" s="397">
        <v>2</v>
      </c>
      <c r="F2263" s="410">
        <v>0.67</v>
      </c>
      <c r="G2263" s="410">
        <v>0.67</v>
      </c>
      <c r="H2263" s="410" t="s">
        <v>26</v>
      </c>
      <c r="I2263" s="399">
        <f t="shared" si="98"/>
        <v>-0.45</v>
      </c>
      <c r="J2263" s="396"/>
    </row>
    <row r="2264" spans="1:10" s="367" customFormat="1" ht="22.5" customHeight="1">
      <c r="A2264" s="395"/>
      <c r="B2264" s="401" t="s">
        <v>1402</v>
      </c>
      <c r="C2264" s="397">
        <v>-1</v>
      </c>
      <c r="D2264" s="397">
        <v>1</v>
      </c>
      <c r="E2264" s="397">
        <v>10</v>
      </c>
      <c r="F2264" s="410">
        <v>1.66</v>
      </c>
      <c r="G2264" s="398">
        <v>1.4450000000000001</v>
      </c>
      <c r="H2264" s="410" t="s">
        <v>26</v>
      </c>
      <c r="I2264" s="399">
        <f t="shared" si="98"/>
        <v>-23.99</v>
      </c>
      <c r="J2264" s="396"/>
    </row>
    <row r="2265" spans="1:10" s="367" customFormat="1" ht="22.5" customHeight="1">
      <c r="A2265" s="395"/>
      <c r="B2265" s="401" t="s">
        <v>971</v>
      </c>
      <c r="C2265" s="397">
        <v>-1</v>
      </c>
      <c r="D2265" s="397">
        <v>1</v>
      </c>
      <c r="E2265" s="397">
        <v>2</v>
      </c>
      <c r="F2265" s="398">
        <v>0.97</v>
      </c>
      <c r="G2265" s="398">
        <v>0.93500000000000005</v>
      </c>
      <c r="H2265" s="410" t="s">
        <v>26</v>
      </c>
      <c r="I2265" s="399">
        <f t="shared" si="98"/>
        <v>-1.81</v>
      </c>
      <c r="J2265" s="396"/>
    </row>
    <row r="2266" spans="1:10" s="367" customFormat="1" ht="22.5" customHeight="1">
      <c r="A2266" s="395"/>
      <c r="B2266" s="401" t="s">
        <v>1403</v>
      </c>
      <c r="C2266" s="397">
        <v>-1</v>
      </c>
      <c r="D2266" s="397">
        <v>1</v>
      </c>
      <c r="E2266" s="397">
        <v>2</v>
      </c>
      <c r="F2266" s="398">
        <v>0.69499999999999995</v>
      </c>
      <c r="G2266" s="398">
        <v>0.93500000000000005</v>
      </c>
      <c r="H2266" s="410" t="s">
        <v>26</v>
      </c>
      <c r="I2266" s="399">
        <f t="shared" si="98"/>
        <v>-1.3</v>
      </c>
      <c r="J2266" s="396"/>
    </row>
    <row r="2267" spans="1:10" s="367" customFormat="1" ht="22.5" customHeight="1">
      <c r="A2267" s="395"/>
      <c r="B2267" s="401" t="s">
        <v>1403</v>
      </c>
      <c r="C2267" s="397">
        <v>-1</v>
      </c>
      <c r="D2267" s="397">
        <v>1</v>
      </c>
      <c r="E2267" s="397">
        <v>4</v>
      </c>
      <c r="F2267" s="398">
        <v>0.75</v>
      </c>
      <c r="G2267" s="398">
        <v>0.63500000000000001</v>
      </c>
      <c r="H2267" s="410" t="s">
        <v>26</v>
      </c>
      <c r="I2267" s="399">
        <f t="shared" si="98"/>
        <v>-1.91</v>
      </c>
      <c r="J2267" s="396"/>
    </row>
    <row r="2268" spans="1:10" s="367" customFormat="1" ht="22.5" customHeight="1">
      <c r="A2268" s="395"/>
      <c r="B2268" s="401" t="s">
        <v>1403</v>
      </c>
      <c r="C2268" s="397">
        <v>-1</v>
      </c>
      <c r="D2268" s="397">
        <v>1</v>
      </c>
      <c r="E2268" s="397">
        <v>2</v>
      </c>
      <c r="F2268" s="398">
        <v>0.75</v>
      </c>
      <c r="G2268" s="398">
        <v>1.1499999999999999</v>
      </c>
      <c r="H2268" s="410" t="s">
        <v>26</v>
      </c>
      <c r="I2268" s="399">
        <f t="shared" si="98"/>
        <v>-1.73</v>
      </c>
      <c r="J2268" s="396"/>
    </row>
    <row r="2269" spans="1:10" s="367" customFormat="1" ht="22.5" customHeight="1">
      <c r="A2269" s="395"/>
      <c r="B2269" s="401" t="s">
        <v>1403</v>
      </c>
      <c r="C2269" s="397">
        <v>-1</v>
      </c>
      <c r="D2269" s="397">
        <v>1</v>
      </c>
      <c r="E2269" s="397">
        <v>2</v>
      </c>
      <c r="F2269" s="398">
        <v>0.63500000000000001</v>
      </c>
      <c r="G2269" s="398">
        <v>1.0049999999999999</v>
      </c>
      <c r="H2269" s="410" t="s">
        <v>26</v>
      </c>
      <c r="I2269" s="399">
        <f t="shared" si="98"/>
        <v>-1.28</v>
      </c>
      <c r="J2269" s="396"/>
    </row>
    <row r="2270" spans="1:10" s="367" customFormat="1" ht="22.5" customHeight="1">
      <c r="A2270" s="395"/>
      <c r="B2270" s="401" t="s">
        <v>1404</v>
      </c>
      <c r="C2270" s="397">
        <v>-1</v>
      </c>
      <c r="D2270" s="397">
        <v>1</v>
      </c>
      <c r="E2270" s="397">
        <v>2</v>
      </c>
      <c r="F2270" s="398">
        <v>0.63500000000000001</v>
      </c>
      <c r="G2270" s="398">
        <v>0.89500000000000002</v>
      </c>
      <c r="H2270" s="410" t="s">
        <v>26</v>
      </c>
      <c r="I2270" s="399">
        <f t="shared" si="98"/>
        <v>-1.1399999999999999</v>
      </c>
      <c r="J2270" s="396"/>
    </row>
    <row r="2271" spans="1:10" s="367" customFormat="1" ht="22.5" customHeight="1">
      <c r="A2271" s="395"/>
      <c r="B2271" s="401" t="s">
        <v>1405</v>
      </c>
      <c r="C2271" s="397">
        <v>-1</v>
      </c>
      <c r="D2271" s="397">
        <v>1</v>
      </c>
      <c r="E2271" s="397">
        <v>2</v>
      </c>
      <c r="F2271" s="398">
        <v>1.155</v>
      </c>
      <c r="G2271" s="398">
        <v>1.1499999999999999</v>
      </c>
      <c r="H2271" s="410" t="s">
        <v>26</v>
      </c>
      <c r="I2271" s="399">
        <f t="shared" si="98"/>
        <v>-2.66</v>
      </c>
      <c r="J2271" s="396"/>
    </row>
    <row r="2272" spans="1:10" s="367" customFormat="1" ht="22.5" customHeight="1">
      <c r="A2272" s="395"/>
      <c r="B2272" s="401" t="s">
        <v>1501</v>
      </c>
      <c r="C2272" s="397">
        <v>-1</v>
      </c>
      <c r="D2272" s="397">
        <v>1</v>
      </c>
      <c r="E2272" s="397">
        <v>2</v>
      </c>
      <c r="F2272" s="398">
        <v>1.9</v>
      </c>
      <c r="G2272" s="398">
        <v>3.645</v>
      </c>
      <c r="H2272" s="410" t="s">
        <v>26</v>
      </c>
      <c r="I2272" s="399">
        <f t="shared" si="98"/>
        <v>-13.85</v>
      </c>
      <c r="J2272" s="396"/>
    </row>
    <row r="2273" spans="1:10" s="367" customFormat="1" ht="22.5" customHeight="1">
      <c r="A2273" s="395"/>
      <c r="B2273" s="401" t="s">
        <v>940</v>
      </c>
      <c r="C2273" s="397">
        <v>-1</v>
      </c>
      <c r="D2273" s="397">
        <v>1</v>
      </c>
      <c r="E2273" s="397">
        <v>2</v>
      </c>
      <c r="F2273" s="410">
        <v>2.85</v>
      </c>
      <c r="G2273" s="410">
        <v>4.2</v>
      </c>
      <c r="H2273" s="398" t="s">
        <v>26</v>
      </c>
      <c r="I2273" s="399">
        <f t="shared" si="98"/>
        <v>-23.94</v>
      </c>
      <c r="J2273" s="396"/>
    </row>
    <row r="2274" spans="1:10" s="367" customFormat="1" ht="22.5" customHeight="1">
      <c r="A2274" s="395"/>
      <c r="B2274" s="401" t="s">
        <v>1425</v>
      </c>
      <c r="C2274" s="397">
        <v>-1</v>
      </c>
      <c r="D2274" s="397">
        <v>1</v>
      </c>
      <c r="E2274" s="397">
        <v>1</v>
      </c>
      <c r="F2274" s="410">
        <v>4.22</v>
      </c>
      <c r="G2274" s="410">
        <v>3.53</v>
      </c>
      <c r="H2274" s="398" t="s">
        <v>26</v>
      </c>
      <c r="I2274" s="399">
        <f t="shared" si="98"/>
        <v>-14.9</v>
      </c>
      <c r="J2274" s="396"/>
    </row>
    <row r="2275" spans="1:10" s="367" customFormat="1" ht="22.5" customHeight="1">
      <c r="A2275" s="395"/>
      <c r="B2275" s="498" t="s">
        <v>1423</v>
      </c>
      <c r="C2275" s="499">
        <v>-1</v>
      </c>
      <c r="D2275" s="499">
        <v>1</v>
      </c>
      <c r="E2275" s="499">
        <v>50</v>
      </c>
      <c r="F2275" s="500" t="s">
        <v>26</v>
      </c>
      <c r="G2275" s="500">
        <v>0.23</v>
      </c>
      <c r="H2275" s="501">
        <v>0.17499999999999999</v>
      </c>
      <c r="I2275" s="399">
        <f t="shared" si="98"/>
        <v>-2.0099999999999998</v>
      </c>
      <c r="J2275" s="396"/>
    </row>
    <row r="2276" spans="1:10" s="367" customFormat="1" ht="22.5" customHeight="1">
      <c r="A2276" s="395"/>
      <c r="B2276" s="498" t="s">
        <v>1423</v>
      </c>
      <c r="C2276" s="499">
        <v>-1</v>
      </c>
      <c r="D2276" s="499">
        <v>1</v>
      </c>
      <c r="E2276" s="499">
        <v>38</v>
      </c>
      <c r="F2276" s="500" t="s">
        <v>26</v>
      </c>
      <c r="G2276" s="500">
        <v>0.23</v>
      </c>
      <c r="H2276" s="501">
        <v>0.27500000000000002</v>
      </c>
      <c r="I2276" s="399">
        <f t="shared" si="98"/>
        <v>-2.4</v>
      </c>
      <c r="J2276" s="396"/>
    </row>
    <row r="2277" spans="1:10" s="367" customFormat="1" ht="22.5" customHeight="1">
      <c r="A2277" s="395"/>
      <c r="B2277" s="498" t="s">
        <v>1423</v>
      </c>
      <c r="C2277" s="499">
        <v>-1</v>
      </c>
      <c r="D2277" s="499">
        <v>1</v>
      </c>
      <c r="E2277" s="499">
        <v>8</v>
      </c>
      <c r="F2277" s="500" t="s">
        <v>26</v>
      </c>
      <c r="G2277" s="500">
        <v>0.23</v>
      </c>
      <c r="H2277" s="501">
        <v>0.32500000000000001</v>
      </c>
      <c r="I2277" s="399">
        <f t="shared" si="98"/>
        <v>-0.6</v>
      </c>
      <c r="J2277" s="396"/>
    </row>
    <row r="2278" spans="1:10" s="367" customFormat="1" ht="22.5" customHeight="1">
      <c r="A2278" s="395"/>
      <c r="B2278" s="498" t="s">
        <v>1423</v>
      </c>
      <c r="C2278" s="499">
        <v>-1</v>
      </c>
      <c r="D2278" s="499">
        <v>1</v>
      </c>
      <c r="E2278" s="499">
        <v>97</v>
      </c>
      <c r="F2278" s="500" t="s">
        <v>26</v>
      </c>
      <c r="G2278" s="500">
        <v>0.23</v>
      </c>
      <c r="H2278" s="501">
        <v>0.47499999999999998</v>
      </c>
      <c r="I2278" s="399">
        <f t="shared" si="98"/>
        <v>-10.6</v>
      </c>
      <c r="J2278" s="396"/>
    </row>
    <row r="2279" spans="1:10" s="367" customFormat="1" ht="16.5">
      <c r="A2279" s="395"/>
      <c r="B2279" s="401" t="s">
        <v>1502</v>
      </c>
      <c r="C2279" s="397">
        <v>-1</v>
      </c>
      <c r="D2279" s="397">
        <v>1</v>
      </c>
      <c r="E2279" s="397">
        <v>2</v>
      </c>
      <c r="F2279" s="410">
        <v>9.1300000000000008</v>
      </c>
      <c r="G2279" s="410">
        <v>3.65</v>
      </c>
      <c r="H2279" s="398" t="s">
        <v>26</v>
      </c>
      <c r="I2279" s="399">
        <f t="shared" si="98"/>
        <v>-66.650000000000006</v>
      </c>
      <c r="J2279" s="396"/>
    </row>
    <row r="2280" spans="1:10" s="368" customFormat="1" ht="22.5" customHeight="1">
      <c r="A2280" s="395"/>
      <c r="B2280" s="401" t="s">
        <v>1503</v>
      </c>
      <c r="C2280" s="397">
        <v>-1</v>
      </c>
      <c r="D2280" s="397">
        <v>1</v>
      </c>
      <c r="E2280" s="397">
        <v>2</v>
      </c>
      <c r="F2280" s="410">
        <v>5.28</v>
      </c>
      <c r="G2280" s="410">
        <v>1.43</v>
      </c>
      <c r="H2280" s="398" t="s">
        <v>26</v>
      </c>
      <c r="I2280" s="399">
        <f t="shared" si="98"/>
        <v>-15.1</v>
      </c>
      <c r="J2280" s="396"/>
    </row>
    <row r="2281" spans="1:10" s="368" customFormat="1" ht="32.25" customHeight="1">
      <c r="A2281" s="395"/>
      <c r="B2281" s="401" t="s">
        <v>1504</v>
      </c>
      <c r="C2281" s="397">
        <v>-1</v>
      </c>
      <c r="D2281" s="397">
        <v>1</v>
      </c>
      <c r="E2281" s="397">
        <v>2</v>
      </c>
      <c r="F2281" s="410">
        <v>3.7</v>
      </c>
      <c r="G2281" s="410">
        <v>9.1300000000000008</v>
      </c>
      <c r="H2281" s="398" t="s">
        <v>26</v>
      </c>
      <c r="I2281" s="399">
        <f t="shared" si="98"/>
        <v>-67.56</v>
      </c>
      <c r="J2281" s="396"/>
    </row>
    <row r="2282" spans="1:10" s="367" customFormat="1" ht="22.5" customHeight="1">
      <c r="A2282" s="395"/>
      <c r="B2282" s="401" t="s">
        <v>1505</v>
      </c>
      <c r="C2282" s="397">
        <v>-1</v>
      </c>
      <c r="D2282" s="397">
        <v>1</v>
      </c>
      <c r="E2282" s="397">
        <v>2</v>
      </c>
      <c r="F2282" s="410">
        <v>2.8</v>
      </c>
      <c r="G2282" s="410">
        <v>7.96</v>
      </c>
      <c r="H2282" s="398" t="s">
        <v>26</v>
      </c>
      <c r="I2282" s="399">
        <f t="shared" si="98"/>
        <v>-44.58</v>
      </c>
      <c r="J2282" s="396"/>
    </row>
    <row r="2283" spans="1:10" s="367" customFormat="1" ht="22.5" customHeight="1">
      <c r="A2283" s="395"/>
      <c r="B2283" s="396" t="s">
        <v>1506</v>
      </c>
      <c r="C2283" s="397"/>
      <c r="D2283" s="397"/>
      <c r="E2283" s="397"/>
      <c r="F2283" s="410"/>
      <c r="G2283" s="410"/>
      <c r="H2283" s="398"/>
      <c r="I2283" s="399"/>
      <c r="J2283" s="396"/>
    </row>
    <row r="2284" spans="1:10" s="367" customFormat="1" ht="22.5" customHeight="1">
      <c r="A2284" s="395"/>
      <c r="B2284" s="401" t="s">
        <v>1507</v>
      </c>
      <c r="C2284" s="397">
        <v>1</v>
      </c>
      <c r="D2284" s="397">
        <v>1</v>
      </c>
      <c r="E2284" s="397">
        <v>2</v>
      </c>
      <c r="F2284" s="410">
        <v>2.7</v>
      </c>
      <c r="G2284" s="410">
        <v>1.35</v>
      </c>
      <c r="H2284" s="398" t="s">
        <v>26</v>
      </c>
      <c r="I2284" s="399">
        <f t="shared" ref="I2284:I2290" si="99">PRODUCT(C2284:H2284)</f>
        <v>7.29</v>
      </c>
      <c r="J2284" s="396"/>
    </row>
    <row r="2285" spans="1:10" s="367" customFormat="1" ht="22.5" customHeight="1">
      <c r="A2285" s="395"/>
      <c r="B2285" s="401" t="s">
        <v>1508</v>
      </c>
      <c r="C2285" s="397">
        <v>1</v>
      </c>
      <c r="D2285" s="397">
        <v>1</v>
      </c>
      <c r="E2285" s="397">
        <v>2</v>
      </c>
      <c r="F2285" s="410">
        <v>3.31</v>
      </c>
      <c r="G2285" s="410">
        <v>1.73</v>
      </c>
      <c r="H2285" s="398" t="s">
        <v>26</v>
      </c>
      <c r="I2285" s="399">
        <f t="shared" si="99"/>
        <v>11.45</v>
      </c>
      <c r="J2285" s="396"/>
    </row>
    <row r="2286" spans="1:10" s="367" customFormat="1" ht="22.5" customHeight="1">
      <c r="A2286" s="395"/>
      <c r="B2286" s="401" t="s">
        <v>1509</v>
      </c>
      <c r="C2286" s="397">
        <v>1</v>
      </c>
      <c r="D2286" s="397">
        <v>1</v>
      </c>
      <c r="E2286" s="397">
        <v>2</v>
      </c>
      <c r="F2286" s="410">
        <v>3</v>
      </c>
      <c r="G2286" s="410">
        <v>1.35</v>
      </c>
      <c r="H2286" s="398" t="s">
        <v>26</v>
      </c>
      <c r="I2286" s="399">
        <f t="shared" si="99"/>
        <v>8.1</v>
      </c>
      <c r="J2286" s="396"/>
    </row>
    <row r="2287" spans="1:10" s="367" customFormat="1" ht="22.5" customHeight="1">
      <c r="A2287" s="395"/>
      <c r="B2287" s="401" t="s">
        <v>1510</v>
      </c>
      <c r="C2287" s="397">
        <v>1</v>
      </c>
      <c r="D2287" s="397">
        <v>1</v>
      </c>
      <c r="E2287" s="397">
        <v>2</v>
      </c>
      <c r="F2287" s="410">
        <v>6.77</v>
      </c>
      <c r="G2287" s="410" t="s">
        <v>26</v>
      </c>
      <c r="H2287" s="398">
        <v>0.3</v>
      </c>
      <c r="I2287" s="399">
        <f t="shared" si="99"/>
        <v>4.0599999999999996</v>
      </c>
      <c r="J2287" s="396"/>
    </row>
    <row r="2288" spans="1:10" s="367" customFormat="1" ht="22.5" customHeight="1">
      <c r="A2288" s="395"/>
      <c r="B2288" s="401" t="s">
        <v>1511</v>
      </c>
      <c r="C2288" s="397">
        <v>1</v>
      </c>
      <c r="D2288" s="397">
        <v>1</v>
      </c>
      <c r="E2288" s="397">
        <v>2</v>
      </c>
      <c r="F2288" s="410">
        <v>5.85</v>
      </c>
      <c r="G2288" s="410" t="s">
        <v>26</v>
      </c>
      <c r="H2288" s="398">
        <v>0.15</v>
      </c>
      <c r="I2288" s="399">
        <f t="shared" si="99"/>
        <v>1.76</v>
      </c>
      <c r="J2288" s="396"/>
    </row>
    <row r="2289" spans="1:10" s="367" customFormat="1" ht="22.5" customHeight="1">
      <c r="A2289" s="395"/>
      <c r="B2289" s="401" t="s">
        <v>528</v>
      </c>
      <c r="C2289" s="397">
        <v>2</v>
      </c>
      <c r="D2289" s="531">
        <v>0.5</v>
      </c>
      <c r="E2289" s="397">
        <v>18</v>
      </c>
      <c r="F2289" s="410" t="s">
        <v>26</v>
      </c>
      <c r="G2289" s="410">
        <v>0.3</v>
      </c>
      <c r="H2289" s="398">
        <v>0.15</v>
      </c>
      <c r="I2289" s="399">
        <f t="shared" si="99"/>
        <v>0.81</v>
      </c>
      <c r="J2289" s="396"/>
    </row>
    <row r="2290" spans="1:10" s="367" customFormat="1" ht="22.5" customHeight="1">
      <c r="A2290" s="395"/>
      <c r="B2290" s="401" t="s">
        <v>528</v>
      </c>
      <c r="C2290" s="397">
        <v>1</v>
      </c>
      <c r="D2290" s="397">
        <v>1</v>
      </c>
      <c r="E2290" s="397">
        <v>18</v>
      </c>
      <c r="F2290" s="410">
        <v>1.35</v>
      </c>
      <c r="G2290" s="410" t="s">
        <v>26</v>
      </c>
      <c r="H2290" s="398">
        <v>0.15</v>
      </c>
      <c r="I2290" s="399">
        <f t="shared" si="99"/>
        <v>3.65</v>
      </c>
      <c r="J2290" s="396"/>
    </row>
    <row r="2291" spans="1:10" s="367" customFormat="1" ht="22.5" customHeight="1">
      <c r="A2291" s="395"/>
      <c r="B2291" s="396" t="s">
        <v>944</v>
      </c>
      <c r="C2291" s="397"/>
      <c r="D2291" s="531"/>
      <c r="E2291" s="397"/>
      <c r="F2291" s="410"/>
      <c r="G2291" s="410"/>
      <c r="H2291" s="398"/>
      <c r="I2291" s="399"/>
      <c r="J2291" s="396"/>
    </row>
    <row r="2292" spans="1:10" s="367" customFormat="1" ht="22.5" customHeight="1">
      <c r="A2292" s="395"/>
      <c r="B2292" s="401" t="s">
        <v>303</v>
      </c>
      <c r="C2292" s="397">
        <v>-1</v>
      </c>
      <c r="D2292" s="397">
        <v>2</v>
      </c>
      <c r="E2292" s="397">
        <v>2</v>
      </c>
      <c r="F2292" s="410">
        <v>0.45</v>
      </c>
      <c r="G2292" s="410">
        <v>0.23</v>
      </c>
      <c r="H2292" s="398" t="s">
        <v>26</v>
      </c>
      <c r="I2292" s="399">
        <f>PRODUCT(C2292:H2292)</f>
        <v>-0.41</v>
      </c>
      <c r="J2292" s="396"/>
    </row>
    <row r="2293" spans="1:10" s="367" customFormat="1" ht="22.5" customHeight="1">
      <c r="A2293" s="395"/>
      <c r="B2293" s="396" t="s">
        <v>1512</v>
      </c>
      <c r="C2293" s="397"/>
      <c r="D2293" s="397"/>
      <c r="E2293" s="397"/>
      <c r="F2293" s="410"/>
      <c r="G2293" s="410"/>
      <c r="H2293" s="398"/>
      <c r="I2293" s="399"/>
      <c r="J2293" s="396"/>
    </row>
    <row r="2294" spans="1:10" s="367" customFormat="1" ht="22.5" customHeight="1">
      <c r="A2294" s="395"/>
      <c r="B2294" s="401" t="s">
        <v>1507</v>
      </c>
      <c r="C2294" s="397">
        <v>1</v>
      </c>
      <c r="D2294" s="397">
        <v>1</v>
      </c>
      <c r="E2294" s="397">
        <v>1</v>
      </c>
      <c r="F2294" s="410">
        <v>3</v>
      </c>
      <c r="G2294" s="410">
        <v>1.5</v>
      </c>
      <c r="H2294" s="398" t="s">
        <v>26</v>
      </c>
      <c r="I2294" s="399">
        <f t="shared" ref="I2294:I2300" si="100">PRODUCT(C2294:H2294)</f>
        <v>4.5</v>
      </c>
      <c r="J2294" s="396"/>
    </row>
    <row r="2295" spans="1:10" s="367" customFormat="1" ht="22.5" customHeight="1">
      <c r="A2295" s="395"/>
      <c r="B2295" s="401" t="s">
        <v>1508</v>
      </c>
      <c r="C2295" s="397">
        <v>1</v>
      </c>
      <c r="D2295" s="397">
        <v>1</v>
      </c>
      <c r="E2295" s="397">
        <v>1</v>
      </c>
      <c r="F2295" s="410">
        <v>3.99</v>
      </c>
      <c r="G2295" s="410">
        <v>1.73</v>
      </c>
      <c r="H2295" s="398" t="s">
        <v>26</v>
      </c>
      <c r="I2295" s="399">
        <f t="shared" si="100"/>
        <v>6.9</v>
      </c>
      <c r="J2295" s="396"/>
    </row>
    <row r="2296" spans="1:10" s="367" customFormat="1" ht="22.5" customHeight="1">
      <c r="A2296" s="395"/>
      <c r="B2296" s="401" t="s">
        <v>1509</v>
      </c>
      <c r="C2296" s="397">
        <v>1</v>
      </c>
      <c r="D2296" s="397">
        <v>1</v>
      </c>
      <c r="E2296" s="397">
        <v>1</v>
      </c>
      <c r="F2296" s="410">
        <v>2.7</v>
      </c>
      <c r="G2296" s="410">
        <v>1.35</v>
      </c>
      <c r="H2296" s="398" t="s">
        <v>26</v>
      </c>
      <c r="I2296" s="399">
        <f t="shared" si="100"/>
        <v>3.65</v>
      </c>
      <c r="J2296" s="396"/>
    </row>
    <row r="2297" spans="1:10" s="367" customFormat="1" ht="22.5" customHeight="1">
      <c r="A2297" s="395"/>
      <c r="B2297" s="401" t="s">
        <v>1510</v>
      </c>
      <c r="C2297" s="397">
        <v>1</v>
      </c>
      <c r="D2297" s="397">
        <v>1</v>
      </c>
      <c r="E2297" s="397">
        <v>1</v>
      </c>
      <c r="F2297" s="410">
        <v>7.45</v>
      </c>
      <c r="G2297" s="410" t="s">
        <v>26</v>
      </c>
      <c r="H2297" s="398">
        <v>0.3</v>
      </c>
      <c r="I2297" s="399">
        <f t="shared" si="100"/>
        <v>2.2400000000000002</v>
      </c>
      <c r="J2297" s="396"/>
    </row>
    <row r="2298" spans="1:10" s="367" customFormat="1" ht="22.5" customHeight="1">
      <c r="A2298" s="395"/>
      <c r="B2298" s="401" t="s">
        <v>1511</v>
      </c>
      <c r="C2298" s="397">
        <v>1</v>
      </c>
      <c r="D2298" s="397">
        <v>1</v>
      </c>
      <c r="E2298" s="397">
        <v>1</v>
      </c>
      <c r="F2298" s="410">
        <v>6.53</v>
      </c>
      <c r="G2298" s="410" t="s">
        <v>26</v>
      </c>
      <c r="H2298" s="398">
        <v>0.15</v>
      </c>
      <c r="I2298" s="399">
        <f t="shared" si="100"/>
        <v>0.98</v>
      </c>
      <c r="J2298" s="396"/>
    </row>
    <row r="2299" spans="1:10" s="367" customFormat="1" ht="22.5" customHeight="1">
      <c r="A2299" s="395"/>
      <c r="B2299" s="401" t="s">
        <v>528</v>
      </c>
      <c r="C2299" s="397">
        <v>1</v>
      </c>
      <c r="D2299" s="397">
        <v>1</v>
      </c>
      <c r="E2299" s="397">
        <v>18</v>
      </c>
      <c r="F2299" s="410">
        <v>1.5</v>
      </c>
      <c r="G2299" s="410" t="s">
        <v>26</v>
      </c>
      <c r="H2299" s="398">
        <v>0.15</v>
      </c>
      <c r="I2299" s="399">
        <f t="shared" si="100"/>
        <v>4.05</v>
      </c>
      <c r="J2299" s="396"/>
    </row>
    <row r="2300" spans="1:10" s="367" customFormat="1" ht="22.5" customHeight="1">
      <c r="A2300" s="395"/>
      <c r="B2300" s="401" t="s">
        <v>528</v>
      </c>
      <c r="C2300" s="397">
        <v>2</v>
      </c>
      <c r="D2300" s="531">
        <v>0.5</v>
      </c>
      <c r="E2300" s="397">
        <v>18</v>
      </c>
      <c r="F2300" s="410" t="s">
        <v>26</v>
      </c>
      <c r="G2300" s="410">
        <v>0.3</v>
      </c>
      <c r="H2300" s="398">
        <v>0.15</v>
      </c>
      <c r="I2300" s="399">
        <f t="shared" si="100"/>
        <v>0.81</v>
      </c>
      <c r="J2300" s="396"/>
    </row>
    <row r="2301" spans="1:10" s="367" customFormat="1" ht="22.5" customHeight="1">
      <c r="A2301" s="395"/>
      <c r="B2301" s="396" t="s">
        <v>944</v>
      </c>
      <c r="C2301" s="397"/>
      <c r="D2301" s="531"/>
      <c r="E2301" s="397"/>
      <c r="F2301" s="410"/>
      <c r="G2301" s="410"/>
      <c r="H2301" s="398"/>
      <c r="I2301" s="399"/>
      <c r="J2301" s="396"/>
    </row>
    <row r="2302" spans="1:10" s="367" customFormat="1" ht="22.5" customHeight="1">
      <c r="A2302" s="395"/>
      <c r="B2302" s="401" t="s">
        <v>303</v>
      </c>
      <c r="C2302" s="397">
        <v>-1</v>
      </c>
      <c r="D2302" s="397">
        <v>1</v>
      </c>
      <c r="E2302" s="397">
        <v>2</v>
      </c>
      <c r="F2302" s="410">
        <v>0.45</v>
      </c>
      <c r="G2302" s="410">
        <v>0.23</v>
      </c>
      <c r="H2302" s="398" t="s">
        <v>26</v>
      </c>
      <c r="I2302" s="399">
        <f>PRODUCT(C2302:H2302)</f>
        <v>-0.21</v>
      </c>
      <c r="J2302" s="396"/>
    </row>
    <row r="2303" spans="1:10" s="367" customFormat="1" ht="22.5" customHeight="1">
      <c r="A2303" s="395"/>
      <c r="B2303" s="396" t="s">
        <v>1513</v>
      </c>
      <c r="C2303" s="397"/>
      <c r="D2303" s="397"/>
      <c r="E2303" s="397"/>
      <c r="F2303" s="410"/>
      <c r="G2303" s="410"/>
      <c r="H2303" s="410"/>
      <c r="I2303" s="399"/>
      <c r="J2303" s="396"/>
    </row>
    <row r="2304" spans="1:10" s="367" customFormat="1" ht="22.5" customHeight="1">
      <c r="A2304" s="395"/>
      <c r="B2304" s="401" t="s">
        <v>1436</v>
      </c>
      <c r="C2304" s="397">
        <v>2</v>
      </c>
      <c r="D2304" s="397">
        <v>1</v>
      </c>
      <c r="E2304" s="397">
        <v>7</v>
      </c>
      <c r="F2304" s="410">
        <v>1.96</v>
      </c>
      <c r="G2304" s="410" t="s">
        <v>26</v>
      </c>
      <c r="H2304" s="410">
        <v>0.05</v>
      </c>
      <c r="I2304" s="399">
        <f t="shared" ref="I2304:I2310" si="101">PRODUCT(C2304:H2304)</f>
        <v>1.37</v>
      </c>
      <c r="J2304" s="396"/>
    </row>
    <row r="2305" spans="1:10" s="367" customFormat="1" ht="22.5" customHeight="1">
      <c r="A2305" s="395"/>
      <c r="B2305" s="401" t="s">
        <v>1437</v>
      </c>
      <c r="C2305" s="397">
        <v>2</v>
      </c>
      <c r="D2305" s="397">
        <v>1</v>
      </c>
      <c r="E2305" s="397">
        <v>2</v>
      </c>
      <c r="F2305" s="410">
        <v>2.2599999999999998</v>
      </c>
      <c r="G2305" s="410" t="s">
        <v>26</v>
      </c>
      <c r="H2305" s="410">
        <v>0.05</v>
      </c>
      <c r="I2305" s="399">
        <f t="shared" si="101"/>
        <v>0.45</v>
      </c>
      <c r="J2305" s="396"/>
    </row>
    <row r="2306" spans="1:10" s="367" customFormat="1" ht="22.5" customHeight="1">
      <c r="A2306" s="395"/>
      <c r="B2306" s="401" t="s">
        <v>1437</v>
      </c>
      <c r="C2306" s="397">
        <v>2</v>
      </c>
      <c r="D2306" s="397">
        <v>1</v>
      </c>
      <c r="E2306" s="397">
        <v>2</v>
      </c>
      <c r="F2306" s="410">
        <v>1.66</v>
      </c>
      <c r="G2306" s="410" t="s">
        <v>26</v>
      </c>
      <c r="H2306" s="410">
        <v>0.05</v>
      </c>
      <c r="I2306" s="399">
        <f t="shared" si="101"/>
        <v>0.33</v>
      </c>
      <c r="J2306" s="396"/>
    </row>
    <row r="2307" spans="1:10" s="367" customFormat="1" ht="22.5" customHeight="1">
      <c r="A2307" s="395"/>
      <c r="B2307" s="401" t="s">
        <v>1514</v>
      </c>
      <c r="C2307" s="397">
        <v>2</v>
      </c>
      <c r="D2307" s="397">
        <v>1</v>
      </c>
      <c r="E2307" s="397">
        <v>4</v>
      </c>
      <c r="F2307" s="410">
        <v>1.96</v>
      </c>
      <c r="G2307" s="410" t="s">
        <v>26</v>
      </c>
      <c r="H2307" s="410">
        <v>0.05</v>
      </c>
      <c r="I2307" s="399">
        <f t="shared" si="101"/>
        <v>0.78</v>
      </c>
      <c r="J2307" s="396"/>
    </row>
    <row r="2308" spans="1:10" s="367" customFormat="1" ht="22.5" customHeight="1">
      <c r="A2308" s="395"/>
      <c r="B2308" s="401" t="s">
        <v>1438</v>
      </c>
      <c r="C2308" s="397">
        <v>2</v>
      </c>
      <c r="D2308" s="397">
        <v>1</v>
      </c>
      <c r="E2308" s="397">
        <v>3</v>
      </c>
      <c r="F2308" s="410">
        <v>1.66</v>
      </c>
      <c r="G2308" s="410" t="s">
        <v>26</v>
      </c>
      <c r="H2308" s="410">
        <v>0.05</v>
      </c>
      <c r="I2308" s="399">
        <f t="shared" si="101"/>
        <v>0.5</v>
      </c>
      <c r="J2308" s="396"/>
    </row>
    <row r="2309" spans="1:10" s="367" customFormat="1" ht="22.5" customHeight="1">
      <c r="A2309" s="395"/>
      <c r="B2309" s="401" t="s">
        <v>1459</v>
      </c>
      <c r="C2309" s="397">
        <v>2</v>
      </c>
      <c r="D2309" s="397">
        <v>1</v>
      </c>
      <c r="E2309" s="397">
        <v>1</v>
      </c>
      <c r="F2309" s="410">
        <v>2.86</v>
      </c>
      <c r="G2309" s="410" t="s">
        <v>26</v>
      </c>
      <c r="H2309" s="410">
        <v>0.05</v>
      </c>
      <c r="I2309" s="399">
        <f t="shared" si="101"/>
        <v>0.28999999999999998</v>
      </c>
      <c r="J2309" s="396"/>
    </row>
    <row r="2310" spans="1:10" s="367" customFormat="1" ht="22.5" customHeight="1">
      <c r="A2310" s="395"/>
      <c r="B2310" s="401" t="s">
        <v>1459</v>
      </c>
      <c r="C2310" s="397">
        <v>2</v>
      </c>
      <c r="D2310" s="397">
        <v>1</v>
      </c>
      <c r="E2310" s="397">
        <v>1</v>
      </c>
      <c r="F2310" s="410">
        <v>3.46</v>
      </c>
      <c r="G2310" s="410" t="s">
        <v>26</v>
      </c>
      <c r="H2310" s="410">
        <v>0.05</v>
      </c>
      <c r="I2310" s="399">
        <f t="shared" si="101"/>
        <v>0.35</v>
      </c>
      <c r="J2310" s="396"/>
    </row>
    <row r="2311" spans="1:10" s="367" customFormat="1" ht="22.5" customHeight="1">
      <c r="A2311" s="395"/>
      <c r="B2311" s="396" t="s">
        <v>1515</v>
      </c>
      <c r="C2311" s="397"/>
      <c r="D2311" s="397"/>
      <c r="E2311" s="397"/>
      <c r="F2311" s="410"/>
      <c r="G2311" s="410"/>
      <c r="H2311" s="410"/>
      <c r="I2311" s="399"/>
      <c r="J2311" s="396"/>
    </row>
    <row r="2312" spans="1:10" s="367" customFormat="1" ht="22.5" customHeight="1">
      <c r="A2312" s="395"/>
      <c r="B2312" s="401" t="s">
        <v>1456</v>
      </c>
      <c r="C2312" s="397">
        <v>1</v>
      </c>
      <c r="D2312" s="397">
        <v>1</v>
      </c>
      <c r="E2312" s="397">
        <v>2</v>
      </c>
      <c r="F2312" s="410">
        <v>0.9</v>
      </c>
      <c r="G2312" s="410">
        <v>0.12</v>
      </c>
      <c r="H2312" s="410" t="s">
        <v>26</v>
      </c>
      <c r="I2312" s="399">
        <f t="shared" ref="I2312:I2326" si="102">PRODUCT(C2312:H2312)</f>
        <v>0.22</v>
      </c>
      <c r="J2312" s="396"/>
    </row>
    <row r="2313" spans="1:10" s="367" customFormat="1" ht="22.5" customHeight="1">
      <c r="A2313" s="395"/>
      <c r="B2313" s="401" t="s">
        <v>1457</v>
      </c>
      <c r="C2313" s="397">
        <v>1</v>
      </c>
      <c r="D2313" s="397">
        <v>1</v>
      </c>
      <c r="E2313" s="397">
        <v>12</v>
      </c>
      <c r="F2313" s="410">
        <v>0.75</v>
      </c>
      <c r="G2313" s="410">
        <v>0.12</v>
      </c>
      <c r="H2313" s="410" t="s">
        <v>26</v>
      </c>
      <c r="I2313" s="399">
        <f t="shared" si="102"/>
        <v>1.08</v>
      </c>
      <c r="J2313" s="396"/>
    </row>
    <row r="2314" spans="1:10" s="367" customFormat="1" ht="22.5" customHeight="1">
      <c r="A2314" s="395"/>
      <c r="B2314" s="401" t="s">
        <v>1516</v>
      </c>
      <c r="C2314" s="397">
        <v>1</v>
      </c>
      <c r="D2314" s="397">
        <v>1</v>
      </c>
      <c r="E2314" s="397">
        <v>10</v>
      </c>
      <c r="F2314" s="410">
        <v>0.75</v>
      </c>
      <c r="G2314" s="410">
        <v>0.12</v>
      </c>
      <c r="H2314" s="410" t="s">
        <v>26</v>
      </c>
      <c r="I2314" s="399">
        <f t="shared" si="102"/>
        <v>0.9</v>
      </c>
      <c r="J2314" s="396"/>
    </row>
    <row r="2315" spans="1:10" s="367" customFormat="1" ht="22.5" customHeight="1">
      <c r="A2315" s="395"/>
      <c r="B2315" s="401" t="s">
        <v>1443</v>
      </c>
      <c r="C2315" s="397">
        <v>1</v>
      </c>
      <c r="D2315" s="397">
        <v>1</v>
      </c>
      <c r="E2315" s="397">
        <v>1</v>
      </c>
      <c r="F2315" s="410">
        <v>0.9</v>
      </c>
      <c r="G2315" s="410">
        <v>0.12</v>
      </c>
      <c r="H2315" s="410" t="s">
        <v>26</v>
      </c>
      <c r="I2315" s="399">
        <f t="shared" si="102"/>
        <v>0.11</v>
      </c>
      <c r="J2315" s="396"/>
    </row>
    <row r="2316" spans="1:10" s="367" customFormat="1" ht="22.5" customHeight="1">
      <c r="A2316" s="395"/>
      <c r="B2316" s="401" t="s">
        <v>1517</v>
      </c>
      <c r="C2316" s="397">
        <v>1</v>
      </c>
      <c r="D2316" s="397">
        <v>1</v>
      </c>
      <c r="E2316" s="397">
        <v>1</v>
      </c>
      <c r="F2316" s="410">
        <v>0.75</v>
      </c>
      <c r="G2316" s="410">
        <v>0.12</v>
      </c>
      <c r="H2316" s="410" t="s">
        <v>26</v>
      </c>
      <c r="I2316" s="399">
        <f t="shared" si="102"/>
        <v>0.09</v>
      </c>
      <c r="J2316" s="396"/>
    </row>
    <row r="2317" spans="1:10" s="367" customFormat="1" ht="22.5" customHeight="1">
      <c r="A2317" s="395"/>
      <c r="B2317" s="401" t="s">
        <v>1444</v>
      </c>
      <c r="C2317" s="397">
        <v>1</v>
      </c>
      <c r="D2317" s="397">
        <v>1</v>
      </c>
      <c r="E2317" s="397">
        <v>1</v>
      </c>
      <c r="F2317" s="410">
        <v>1.5</v>
      </c>
      <c r="G2317" s="410">
        <v>0.23</v>
      </c>
      <c r="H2317" s="410" t="s">
        <v>26</v>
      </c>
      <c r="I2317" s="399">
        <f t="shared" si="102"/>
        <v>0.35</v>
      </c>
      <c r="J2317" s="396"/>
    </row>
    <row r="2318" spans="1:10" s="367" customFormat="1" ht="22.5" customHeight="1">
      <c r="A2318" s="395"/>
      <c r="B2318" s="401" t="s">
        <v>1518</v>
      </c>
      <c r="C2318" s="397">
        <v>1</v>
      </c>
      <c r="D2318" s="397">
        <v>1</v>
      </c>
      <c r="E2318" s="397">
        <v>2</v>
      </c>
      <c r="F2318" s="410">
        <v>0.75</v>
      </c>
      <c r="G2318" s="410">
        <v>0.12</v>
      </c>
      <c r="H2318" s="410" t="s">
        <v>26</v>
      </c>
      <c r="I2318" s="399">
        <f t="shared" si="102"/>
        <v>0.18</v>
      </c>
      <c r="J2318" s="396"/>
    </row>
    <row r="2319" spans="1:10" s="367" customFormat="1" ht="22.5" customHeight="1">
      <c r="A2319" s="395"/>
      <c r="B2319" s="401" t="s">
        <v>1451</v>
      </c>
      <c r="C2319" s="397">
        <v>1</v>
      </c>
      <c r="D2319" s="397">
        <v>1</v>
      </c>
      <c r="E2319" s="397">
        <v>2</v>
      </c>
      <c r="F2319" s="410">
        <v>0.75</v>
      </c>
      <c r="G2319" s="410">
        <v>0.23</v>
      </c>
      <c r="H2319" s="410" t="s">
        <v>26</v>
      </c>
      <c r="I2319" s="399">
        <f t="shared" si="102"/>
        <v>0.35</v>
      </c>
      <c r="J2319" s="396"/>
    </row>
    <row r="2320" spans="1:10" s="367" customFormat="1" ht="22.5" customHeight="1">
      <c r="A2320" s="395"/>
      <c r="B2320" s="401" t="s">
        <v>1519</v>
      </c>
      <c r="C2320" s="397">
        <v>1</v>
      </c>
      <c r="D2320" s="397">
        <v>1</v>
      </c>
      <c r="E2320" s="397">
        <v>10</v>
      </c>
      <c r="F2320" s="410">
        <v>1.8</v>
      </c>
      <c r="G2320" s="410">
        <v>0.23</v>
      </c>
      <c r="H2320" s="410" t="s">
        <v>26</v>
      </c>
      <c r="I2320" s="399">
        <f t="shared" si="102"/>
        <v>4.1399999999999997</v>
      </c>
      <c r="J2320" s="396"/>
    </row>
    <row r="2321" spans="1:10" s="367" customFormat="1" ht="22.5" customHeight="1">
      <c r="A2321" s="395"/>
      <c r="B2321" s="401" t="s">
        <v>1520</v>
      </c>
      <c r="C2321" s="397">
        <v>1</v>
      </c>
      <c r="D2321" s="397">
        <v>1</v>
      </c>
      <c r="E2321" s="397">
        <v>2</v>
      </c>
      <c r="F2321" s="410">
        <v>1</v>
      </c>
      <c r="G2321" s="410">
        <v>0.23</v>
      </c>
      <c r="H2321" s="410" t="s">
        <v>26</v>
      </c>
      <c r="I2321" s="399">
        <f t="shared" si="102"/>
        <v>0.46</v>
      </c>
      <c r="J2321" s="396"/>
    </row>
    <row r="2322" spans="1:10" s="367" customFormat="1" ht="22.5" customHeight="1">
      <c r="A2322" s="395"/>
      <c r="B2322" s="401" t="s">
        <v>1521</v>
      </c>
      <c r="C2322" s="397">
        <v>1</v>
      </c>
      <c r="D2322" s="397">
        <v>1</v>
      </c>
      <c r="E2322" s="397">
        <v>1</v>
      </c>
      <c r="F2322" s="410">
        <v>1.2</v>
      </c>
      <c r="G2322" s="410">
        <v>0.23</v>
      </c>
      <c r="H2322" s="410" t="s">
        <v>26</v>
      </c>
      <c r="I2322" s="399">
        <f t="shared" si="102"/>
        <v>0.28000000000000003</v>
      </c>
      <c r="J2322" s="396"/>
    </row>
    <row r="2323" spans="1:10" s="367" customFormat="1" ht="22.5" customHeight="1">
      <c r="A2323" s="395"/>
      <c r="B2323" s="401" t="s">
        <v>1522</v>
      </c>
      <c r="C2323" s="397">
        <v>1</v>
      </c>
      <c r="D2323" s="397">
        <v>1</v>
      </c>
      <c r="E2323" s="397">
        <v>2</v>
      </c>
      <c r="F2323" s="410">
        <v>0.9</v>
      </c>
      <c r="G2323" s="410">
        <v>0.23</v>
      </c>
      <c r="H2323" s="410" t="s">
        <v>26</v>
      </c>
      <c r="I2323" s="399">
        <f t="shared" si="102"/>
        <v>0.41</v>
      </c>
      <c r="J2323" s="396"/>
    </row>
    <row r="2324" spans="1:10" s="367" customFormat="1" ht="22.5" customHeight="1">
      <c r="A2324" s="395"/>
      <c r="B2324" s="401" t="s">
        <v>1410</v>
      </c>
      <c r="C2324" s="397">
        <v>1</v>
      </c>
      <c r="D2324" s="397">
        <v>1</v>
      </c>
      <c r="E2324" s="397">
        <v>2</v>
      </c>
      <c r="F2324" s="410">
        <v>1.2</v>
      </c>
      <c r="G2324" s="410">
        <v>0.23</v>
      </c>
      <c r="H2324" s="410" t="s">
        <v>26</v>
      </c>
      <c r="I2324" s="399">
        <f t="shared" si="102"/>
        <v>0.55000000000000004</v>
      </c>
      <c r="J2324" s="396"/>
    </row>
    <row r="2325" spans="1:10" s="367" customFormat="1" ht="22.5" customHeight="1">
      <c r="A2325" s="395"/>
      <c r="B2325" s="401" t="s">
        <v>1459</v>
      </c>
      <c r="C2325" s="397">
        <v>1</v>
      </c>
      <c r="D2325" s="397">
        <v>1</v>
      </c>
      <c r="E2325" s="397">
        <v>1</v>
      </c>
      <c r="F2325" s="410">
        <v>2.4</v>
      </c>
      <c r="G2325" s="410">
        <v>0.23</v>
      </c>
      <c r="H2325" s="410" t="s">
        <v>26</v>
      </c>
      <c r="I2325" s="399">
        <f t="shared" si="102"/>
        <v>0.55000000000000004</v>
      </c>
      <c r="J2325" s="396"/>
    </row>
    <row r="2326" spans="1:10" s="367" customFormat="1" ht="22.5" customHeight="1">
      <c r="A2326" s="395"/>
      <c r="B2326" s="401" t="s">
        <v>1459</v>
      </c>
      <c r="C2326" s="397">
        <v>1</v>
      </c>
      <c r="D2326" s="397">
        <v>1</v>
      </c>
      <c r="E2326" s="397">
        <v>1</v>
      </c>
      <c r="F2326" s="410">
        <v>3</v>
      </c>
      <c r="G2326" s="410">
        <v>0.23</v>
      </c>
      <c r="H2326" s="410" t="s">
        <v>26</v>
      </c>
      <c r="I2326" s="399">
        <f t="shared" si="102"/>
        <v>0.69</v>
      </c>
      <c r="J2326" s="396"/>
    </row>
    <row r="2327" spans="1:10" s="367" customFormat="1" ht="22.5" customHeight="1">
      <c r="A2327" s="395"/>
      <c r="B2327" s="396" t="s">
        <v>1523</v>
      </c>
      <c r="C2327" s="397"/>
      <c r="D2327" s="397"/>
      <c r="E2327" s="397"/>
      <c r="F2327" s="410"/>
      <c r="G2327" s="410"/>
      <c r="H2327" s="410"/>
      <c r="I2327" s="399"/>
      <c r="J2327" s="396"/>
    </row>
    <row r="2328" spans="1:10" s="367" customFormat="1" ht="22.5" customHeight="1">
      <c r="A2328" s="395"/>
      <c r="B2328" s="401" t="s">
        <v>1456</v>
      </c>
      <c r="C2328" s="397">
        <v>2</v>
      </c>
      <c r="D2328" s="397">
        <v>1</v>
      </c>
      <c r="E2328" s="397">
        <v>2</v>
      </c>
      <c r="F2328" s="410">
        <v>1.36</v>
      </c>
      <c r="G2328" s="410" t="s">
        <v>26</v>
      </c>
      <c r="H2328" s="410">
        <v>0.15</v>
      </c>
      <c r="I2328" s="399">
        <f t="shared" ref="I2328:I2341" si="103">PRODUCT(C2328:H2328)</f>
        <v>0.82</v>
      </c>
      <c r="J2328" s="396"/>
    </row>
    <row r="2329" spans="1:10" s="367" customFormat="1" ht="22.5" customHeight="1">
      <c r="A2329" s="395"/>
      <c r="B2329" s="401" t="s">
        <v>1457</v>
      </c>
      <c r="C2329" s="397">
        <v>2</v>
      </c>
      <c r="D2329" s="397">
        <v>1</v>
      </c>
      <c r="E2329" s="397">
        <v>12</v>
      </c>
      <c r="F2329" s="410">
        <v>1.21</v>
      </c>
      <c r="G2329" s="410" t="s">
        <v>26</v>
      </c>
      <c r="H2329" s="410">
        <v>0.15</v>
      </c>
      <c r="I2329" s="399">
        <f t="shared" si="103"/>
        <v>4.3600000000000003</v>
      </c>
      <c r="J2329" s="396"/>
    </row>
    <row r="2330" spans="1:10" s="367" customFormat="1" ht="22.5" customHeight="1">
      <c r="A2330" s="395"/>
      <c r="B2330" s="401" t="s">
        <v>1516</v>
      </c>
      <c r="C2330" s="397">
        <v>2</v>
      </c>
      <c r="D2330" s="397">
        <v>1</v>
      </c>
      <c r="E2330" s="397">
        <v>10</v>
      </c>
      <c r="F2330" s="410">
        <v>1.21</v>
      </c>
      <c r="G2330" s="410" t="s">
        <v>26</v>
      </c>
      <c r="H2330" s="410">
        <v>0.15</v>
      </c>
      <c r="I2330" s="399">
        <f t="shared" si="103"/>
        <v>3.63</v>
      </c>
      <c r="J2330" s="396"/>
    </row>
    <row r="2331" spans="1:10" s="367" customFormat="1" ht="22.5" customHeight="1">
      <c r="A2331" s="395"/>
      <c r="B2331" s="401" t="s">
        <v>1443</v>
      </c>
      <c r="C2331" s="397">
        <v>2</v>
      </c>
      <c r="D2331" s="397">
        <v>1</v>
      </c>
      <c r="E2331" s="397">
        <v>1</v>
      </c>
      <c r="F2331" s="410">
        <v>1.36</v>
      </c>
      <c r="G2331" s="410" t="s">
        <v>26</v>
      </c>
      <c r="H2331" s="410">
        <v>0.15</v>
      </c>
      <c r="I2331" s="399">
        <f t="shared" si="103"/>
        <v>0.41</v>
      </c>
      <c r="J2331" s="396"/>
    </row>
    <row r="2332" spans="1:10" s="367" customFormat="1" ht="22.5" customHeight="1">
      <c r="A2332" s="395"/>
      <c r="B2332" s="401" t="s">
        <v>1517</v>
      </c>
      <c r="C2332" s="397">
        <v>2</v>
      </c>
      <c r="D2332" s="397">
        <v>1</v>
      </c>
      <c r="E2332" s="397">
        <v>1</v>
      </c>
      <c r="F2332" s="410">
        <v>1.21</v>
      </c>
      <c r="G2332" s="410" t="s">
        <v>26</v>
      </c>
      <c r="H2332" s="410">
        <v>0.15</v>
      </c>
      <c r="I2332" s="399">
        <f t="shared" si="103"/>
        <v>0.36</v>
      </c>
      <c r="J2332" s="396"/>
    </row>
    <row r="2333" spans="1:10" s="367" customFormat="1" ht="22.5" customHeight="1">
      <c r="A2333" s="395"/>
      <c r="B2333" s="401" t="s">
        <v>1444</v>
      </c>
      <c r="C2333" s="397">
        <v>1</v>
      </c>
      <c r="D2333" s="397">
        <v>1</v>
      </c>
      <c r="E2333" s="397">
        <v>1</v>
      </c>
      <c r="F2333" s="410">
        <v>1.96</v>
      </c>
      <c r="G2333" s="410" t="s">
        <v>26</v>
      </c>
      <c r="H2333" s="410">
        <v>0.15</v>
      </c>
      <c r="I2333" s="399">
        <f t="shared" si="103"/>
        <v>0.28999999999999998</v>
      </c>
      <c r="J2333" s="396"/>
    </row>
    <row r="2334" spans="1:10" s="367" customFormat="1" ht="22.5" customHeight="1">
      <c r="A2334" s="395"/>
      <c r="B2334" s="401" t="s">
        <v>1518</v>
      </c>
      <c r="C2334" s="397">
        <v>2</v>
      </c>
      <c r="D2334" s="397">
        <v>1</v>
      </c>
      <c r="E2334" s="397">
        <v>2</v>
      </c>
      <c r="F2334" s="410">
        <v>1.21</v>
      </c>
      <c r="G2334" s="410" t="s">
        <v>26</v>
      </c>
      <c r="H2334" s="410">
        <v>0.15</v>
      </c>
      <c r="I2334" s="399">
        <f t="shared" si="103"/>
        <v>0.73</v>
      </c>
      <c r="J2334" s="396"/>
    </row>
    <row r="2335" spans="1:10" s="367" customFormat="1" ht="22.5" customHeight="1">
      <c r="A2335" s="395"/>
      <c r="B2335" s="401" t="s">
        <v>1451</v>
      </c>
      <c r="C2335" s="397">
        <v>2</v>
      </c>
      <c r="D2335" s="397">
        <v>1</v>
      </c>
      <c r="E2335" s="397">
        <v>2</v>
      </c>
      <c r="F2335" s="410">
        <v>1.21</v>
      </c>
      <c r="G2335" s="410" t="s">
        <v>26</v>
      </c>
      <c r="H2335" s="410">
        <v>0.15</v>
      </c>
      <c r="I2335" s="399">
        <f t="shared" si="103"/>
        <v>0.73</v>
      </c>
      <c r="J2335" s="396"/>
    </row>
    <row r="2336" spans="1:10" s="367" customFormat="1" ht="22.5" customHeight="1">
      <c r="A2336" s="395"/>
      <c r="B2336" s="401" t="s">
        <v>1519</v>
      </c>
      <c r="C2336" s="397">
        <v>2</v>
      </c>
      <c r="D2336" s="397">
        <v>1</v>
      </c>
      <c r="E2336" s="397">
        <v>10</v>
      </c>
      <c r="F2336" s="410">
        <v>2.2599999999999998</v>
      </c>
      <c r="G2336" s="410" t="s">
        <v>26</v>
      </c>
      <c r="H2336" s="410">
        <v>0.15</v>
      </c>
      <c r="I2336" s="399">
        <f t="shared" si="103"/>
        <v>6.78</v>
      </c>
      <c r="J2336" s="396"/>
    </row>
    <row r="2337" spans="1:10" s="367" customFormat="1" ht="22.5" customHeight="1">
      <c r="A2337" s="395"/>
      <c r="B2337" s="401" t="s">
        <v>1520</v>
      </c>
      <c r="C2337" s="397">
        <v>2</v>
      </c>
      <c r="D2337" s="397">
        <v>1</v>
      </c>
      <c r="E2337" s="397">
        <v>2</v>
      </c>
      <c r="F2337" s="410">
        <v>1.46</v>
      </c>
      <c r="G2337" s="410" t="s">
        <v>26</v>
      </c>
      <c r="H2337" s="410">
        <v>0.15</v>
      </c>
      <c r="I2337" s="399">
        <f t="shared" si="103"/>
        <v>0.88</v>
      </c>
      <c r="J2337" s="396"/>
    </row>
    <row r="2338" spans="1:10" s="367" customFormat="1" ht="22.5" customHeight="1">
      <c r="A2338" s="395"/>
      <c r="B2338" s="401" t="s">
        <v>1521</v>
      </c>
      <c r="C2338" s="397">
        <v>2</v>
      </c>
      <c r="D2338" s="397">
        <v>1</v>
      </c>
      <c r="E2338" s="397">
        <v>1</v>
      </c>
      <c r="F2338" s="410">
        <v>1.66</v>
      </c>
      <c r="G2338" s="410" t="s">
        <v>26</v>
      </c>
      <c r="H2338" s="410">
        <v>0.15</v>
      </c>
      <c r="I2338" s="399">
        <f t="shared" si="103"/>
        <v>0.5</v>
      </c>
      <c r="J2338" s="396"/>
    </row>
    <row r="2339" spans="1:10" s="367" customFormat="1" ht="22.5" customHeight="1">
      <c r="A2339" s="395"/>
      <c r="B2339" s="401" t="s">
        <v>1410</v>
      </c>
      <c r="C2339" s="397">
        <v>2</v>
      </c>
      <c r="D2339" s="397">
        <v>1</v>
      </c>
      <c r="E2339" s="397">
        <v>2</v>
      </c>
      <c r="F2339" s="410">
        <v>2.8</v>
      </c>
      <c r="G2339" s="410" t="s">
        <v>26</v>
      </c>
      <c r="H2339" s="410">
        <v>0.15</v>
      </c>
      <c r="I2339" s="399">
        <f t="shared" si="103"/>
        <v>1.68</v>
      </c>
      <c r="J2339" s="396"/>
    </row>
    <row r="2340" spans="1:10" s="367" customFormat="1" ht="22.5" customHeight="1">
      <c r="A2340" s="395"/>
      <c r="B2340" s="401" t="s">
        <v>1459</v>
      </c>
      <c r="C2340" s="397">
        <v>2</v>
      </c>
      <c r="D2340" s="397">
        <v>1</v>
      </c>
      <c r="E2340" s="397">
        <v>1</v>
      </c>
      <c r="F2340" s="410">
        <v>2.86</v>
      </c>
      <c r="G2340" s="410" t="s">
        <v>26</v>
      </c>
      <c r="H2340" s="410">
        <v>0.15</v>
      </c>
      <c r="I2340" s="399">
        <f t="shared" si="103"/>
        <v>0.86</v>
      </c>
      <c r="J2340" s="396"/>
    </row>
    <row r="2341" spans="1:10" s="367" customFormat="1" ht="22.5" customHeight="1">
      <c r="A2341" s="395"/>
      <c r="B2341" s="401" t="s">
        <v>1459</v>
      </c>
      <c r="C2341" s="397">
        <v>2</v>
      </c>
      <c r="D2341" s="397">
        <v>1</v>
      </c>
      <c r="E2341" s="397">
        <v>1</v>
      </c>
      <c r="F2341" s="410">
        <v>3.46</v>
      </c>
      <c r="G2341" s="410" t="s">
        <v>26</v>
      </c>
      <c r="H2341" s="410">
        <v>0.15</v>
      </c>
      <c r="I2341" s="399">
        <f t="shared" si="103"/>
        <v>1.04</v>
      </c>
      <c r="J2341" s="396"/>
    </row>
    <row r="2342" spans="1:10" s="367" customFormat="1" ht="22.5" customHeight="1">
      <c r="A2342" s="395"/>
      <c r="B2342" s="396" t="s">
        <v>1524</v>
      </c>
      <c r="C2342" s="397"/>
      <c r="D2342" s="397"/>
      <c r="E2342" s="397"/>
      <c r="F2342" s="410"/>
      <c r="G2342" s="410"/>
      <c r="H2342" s="410"/>
      <c r="I2342" s="399"/>
      <c r="J2342" s="396"/>
    </row>
    <row r="2343" spans="1:10" s="367" customFormat="1" ht="22.5" customHeight="1">
      <c r="A2343" s="395"/>
      <c r="B2343" s="396" t="s">
        <v>1468</v>
      </c>
      <c r="C2343" s="397"/>
      <c r="D2343" s="397"/>
      <c r="E2343" s="397"/>
      <c r="F2343" s="410"/>
      <c r="G2343" s="410"/>
      <c r="H2343" s="410"/>
      <c r="I2343" s="399"/>
      <c r="J2343" s="396"/>
    </row>
    <row r="2344" spans="1:10" s="367" customFormat="1" ht="22.5" customHeight="1">
      <c r="A2344" s="395"/>
      <c r="B2344" s="401" t="s">
        <v>1469</v>
      </c>
      <c r="C2344" s="397">
        <v>3</v>
      </c>
      <c r="D2344" s="397">
        <v>1</v>
      </c>
      <c r="E2344" s="397">
        <v>1</v>
      </c>
      <c r="F2344" s="410">
        <v>50.07</v>
      </c>
      <c r="G2344" s="410">
        <v>24.77</v>
      </c>
      <c r="H2344" s="398" t="s">
        <v>26</v>
      </c>
      <c r="I2344" s="399">
        <f t="shared" ref="I2344:I2360" si="104">PRODUCT(C2344:H2344)</f>
        <v>3720.7</v>
      </c>
      <c r="J2344" s="396"/>
    </row>
    <row r="2345" spans="1:10" s="367" customFormat="1" ht="22.5" customHeight="1">
      <c r="A2345" s="395"/>
      <c r="B2345" s="401" t="s">
        <v>1359</v>
      </c>
      <c r="C2345" s="397">
        <v>3</v>
      </c>
      <c r="D2345" s="397">
        <v>1</v>
      </c>
      <c r="E2345" s="397">
        <v>1</v>
      </c>
      <c r="F2345" s="410">
        <v>217.43</v>
      </c>
      <c r="G2345" s="410" t="s">
        <v>26</v>
      </c>
      <c r="H2345" s="398">
        <v>0.125</v>
      </c>
      <c r="I2345" s="399">
        <f t="shared" si="104"/>
        <v>81.540000000000006</v>
      </c>
      <c r="J2345" s="396"/>
    </row>
    <row r="2346" spans="1:10" s="367" customFormat="1" ht="22.5" customHeight="1">
      <c r="A2346" s="395"/>
      <c r="B2346" s="401" t="s">
        <v>1401</v>
      </c>
      <c r="C2346" s="397">
        <v>1</v>
      </c>
      <c r="D2346" s="397">
        <v>1</v>
      </c>
      <c r="E2346" s="397">
        <v>6</v>
      </c>
      <c r="F2346" s="410">
        <v>10</v>
      </c>
      <c r="G2346" s="410" t="s">
        <v>26</v>
      </c>
      <c r="H2346" s="398">
        <v>0.125</v>
      </c>
      <c r="I2346" s="399">
        <f t="shared" si="104"/>
        <v>7.5</v>
      </c>
      <c r="J2346" s="396"/>
    </row>
    <row r="2347" spans="1:10" s="367" customFormat="1" ht="22.5" customHeight="1">
      <c r="A2347" s="395"/>
      <c r="B2347" s="401" t="s">
        <v>1401</v>
      </c>
      <c r="C2347" s="397">
        <v>1</v>
      </c>
      <c r="D2347" s="397">
        <v>1</v>
      </c>
      <c r="E2347" s="397">
        <v>2</v>
      </c>
      <c r="F2347" s="410">
        <v>8.8000000000000007</v>
      </c>
      <c r="G2347" s="410" t="s">
        <v>26</v>
      </c>
      <c r="H2347" s="398">
        <v>0.125</v>
      </c>
      <c r="I2347" s="399">
        <f t="shared" si="104"/>
        <v>2.2000000000000002</v>
      </c>
      <c r="J2347" s="396"/>
    </row>
    <row r="2348" spans="1:10" s="367" customFormat="1" ht="22.5" customHeight="1">
      <c r="A2348" s="395"/>
      <c r="B2348" s="401" t="s">
        <v>1401</v>
      </c>
      <c r="C2348" s="397">
        <v>1</v>
      </c>
      <c r="D2348" s="397">
        <v>1</v>
      </c>
      <c r="E2348" s="397">
        <v>2</v>
      </c>
      <c r="F2348" s="410">
        <v>9.0500000000000007</v>
      </c>
      <c r="G2348" s="410" t="s">
        <v>26</v>
      </c>
      <c r="H2348" s="398">
        <v>0.125</v>
      </c>
      <c r="I2348" s="399">
        <f t="shared" si="104"/>
        <v>2.2599999999999998</v>
      </c>
      <c r="J2348" s="396"/>
    </row>
    <row r="2349" spans="1:10" s="367" customFormat="1" ht="22.5" customHeight="1">
      <c r="A2349" s="395"/>
      <c r="B2349" s="401" t="s">
        <v>1402</v>
      </c>
      <c r="C2349" s="397">
        <v>1</v>
      </c>
      <c r="D2349" s="397">
        <v>1</v>
      </c>
      <c r="E2349" s="397">
        <v>10</v>
      </c>
      <c r="F2349" s="410">
        <v>4.37</v>
      </c>
      <c r="G2349" s="398" t="s">
        <v>26</v>
      </c>
      <c r="H2349" s="398">
        <v>0.125</v>
      </c>
      <c r="I2349" s="399">
        <f t="shared" si="104"/>
        <v>5.46</v>
      </c>
      <c r="J2349" s="396"/>
    </row>
    <row r="2350" spans="1:10" s="367" customFormat="1" ht="22.5" customHeight="1">
      <c r="A2350" s="395"/>
      <c r="B2350" s="401" t="s">
        <v>971</v>
      </c>
      <c r="C2350" s="397">
        <v>1</v>
      </c>
      <c r="D2350" s="397">
        <v>1</v>
      </c>
      <c r="E2350" s="397">
        <v>2</v>
      </c>
      <c r="F2350" s="398">
        <v>3.81</v>
      </c>
      <c r="G2350" s="398" t="s">
        <v>26</v>
      </c>
      <c r="H2350" s="398">
        <v>0.125</v>
      </c>
      <c r="I2350" s="399">
        <f t="shared" si="104"/>
        <v>0.95</v>
      </c>
      <c r="J2350" s="396"/>
    </row>
    <row r="2351" spans="1:10" s="367" customFormat="1" ht="22.5" customHeight="1">
      <c r="A2351" s="395"/>
      <c r="B2351" s="401" t="s">
        <v>1403</v>
      </c>
      <c r="C2351" s="397">
        <v>1</v>
      </c>
      <c r="D2351" s="397">
        <v>1</v>
      </c>
      <c r="E2351" s="397">
        <v>2</v>
      </c>
      <c r="F2351" s="398">
        <v>3.26</v>
      </c>
      <c r="G2351" s="398" t="s">
        <v>26</v>
      </c>
      <c r="H2351" s="398">
        <v>0.125</v>
      </c>
      <c r="I2351" s="399">
        <f t="shared" si="104"/>
        <v>0.82</v>
      </c>
      <c r="J2351" s="396"/>
    </row>
    <row r="2352" spans="1:10" s="367" customFormat="1" ht="22.5" customHeight="1">
      <c r="A2352" s="395"/>
      <c r="B2352" s="401" t="s">
        <v>1403</v>
      </c>
      <c r="C2352" s="397">
        <v>1</v>
      </c>
      <c r="D2352" s="397">
        <v>1</v>
      </c>
      <c r="E2352" s="397">
        <v>4</v>
      </c>
      <c r="F2352" s="398">
        <v>2.77</v>
      </c>
      <c r="G2352" s="398" t="s">
        <v>26</v>
      </c>
      <c r="H2352" s="398">
        <v>0.125</v>
      </c>
      <c r="I2352" s="399">
        <f t="shared" si="104"/>
        <v>1.39</v>
      </c>
      <c r="J2352" s="396"/>
    </row>
    <row r="2353" spans="1:10" s="367" customFormat="1" ht="22.5" customHeight="1">
      <c r="A2353" s="395"/>
      <c r="B2353" s="401" t="s">
        <v>1403</v>
      </c>
      <c r="C2353" s="397">
        <v>1</v>
      </c>
      <c r="D2353" s="397">
        <v>1</v>
      </c>
      <c r="E2353" s="397">
        <v>2</v>
      </c>
      <c r="F2353" s="398">
        <v>3.8</v>
      </c>
      <c r="G2353" s="398" t="s">
        <v>26</v>
      </c>
      <c r="H2353" s="398">
        <v>0.125</v>
      </c>
      <c r="I2353" s="399">
        <f t="shared" si="104"/>
        <v>0.95</v>
      </c>
      <c r="J2353" s="396"/>
    </row>
    <row r="2354" spans="1:10" s="367" customFormat="1" ht="22.5" customHeight="1">
      <c r="A2354" s="395"/>
      <c r="B2354" s="401" t="s">
        <v>1403</v>
      </c>
      <c r="C2354" s="397">
        <v>1</v>
      </c>
      <c r="D2354" s="397">
        <v>1</v>
      </c>
      <c r="E2354" s="397">
        <v>2</v>
      </c>
      <c r="F2354" s="398">
        <v>3.28</v>
      </c>
      <c r="G2354" s="398" t="s">
        <v>26</v>
      </c>
      <c r="H2354" s="398">
        <v>0.125</v>
      </c>
      <c r="I2354" s="399">
        <f t="shared" si="104"/>
        <v>0.82</v>
      </c>
      <c r="J2354" s="396"/>
    </row>
    <row r="2355" spans="1:10" s="367" customFormat="1" ht="22.5" customHeight="1">
      <c r="A2355" s="395"/>
      <c r="B2355" s="401" t="s">
        <v>1404</v>
      </c>
      <c r="C2355" s="397">
        <v>1</v>
      </c>
      <c r="D2355" s="397">
        <v>1</v>
      </c>
      <c r="E2355" s="397">
        <v>2</v>
      </c>
      <c r="F2355" s="398">
        <v>3.06</v>
      </c>
      <c r="G2355" s="398" t="s">
        <v>26</v>
      </c>
      <c r="H2355" s="398">
        <v>0.125</v>
      </c>
      <c r="I2355" s="399">
        <f t="shared" si="104"/>
        <v>0.77</v>
      </c>
      <c r="J2355" s="396"/>
    </row>
    <row r="2356" spans="1:10" s="367" customFormat="1" ht="22.5" customHeight="1">
      <c r="A2356" s="395"/>
      <c r="B2356" s="401" t="s">
        <v>1405</v>
      </c>
      <c r="C2356" s="397">
        <v>1</v>
      </c>
      <c r="D2356" s="397">
        <v>1</v>
      </c>
      <c r="E2356" s="397">
        <v>2</v>
      </c>
      <c r="F2356" s="398">
        <v>4.6100000000000003</v>
      </c>
      <c r="G2356" s="398" t="s">
        <v>26</v>
      </c>
      <c r="H2356" s="398">
        <v>0.125</v>
      </c>
      <c r="I2356" s="399">
        <f t="shared" si="104"/>
        <v>1.1499999999999999</v>
      </c>
      <c r="J2356" s="396"/>
    </row>
    <row r="2357" spans="1:10" s="367" customFormat="1" ht="22.5" customHeight="1">
      <c r="A2357" s="395"/>
      <c r="B2357" s="401" t="s">
        <v>1470</v>
      </c>
      <c r="C2357" s="397">
        <v>3</v>
      </c>
      <c r="D2357" s="397">
        <v>1</v>
      </c>
      <c r="E2357" s="397">
        <v>2</v>
      </c>
      <c r="F2357" s="410">
        <v>9</v>
      </c>
      <c r="G2357" s="410" t="s">
        <v>26</v>
      </c>
      <c r="H2357" s="398">
        <v>0.125</v>
      </c>
      <c r="I2357" s="399">
        <f t="shared" si="104"/>
        <v>6.75</v>
      </c>
      <c r="J2357" s="396"/>
    </row>
    <row r="2358" spans="1:10" s="367" customFormat="1" ht="22.5" customHeight="1">
      <c r="A2358" s="395"/>
      <c r="B2358" s="401" t="s">
        <v>1471</v>
      </c>
      <c r="C2358" s="397">
        <v>3</v>
      </c>
      <c r="D2358" s="397">
        <v>1</v>
      </c>
      <c r="E2358" s="397">
        <v>1</v>
      </c>
      <c r="F2358" s="410">
        <v>10.6</v>
      </c>
      <c r="G2358" s="410" t="s">
        <v>26</v>
      </c>
      <c r="H2358" s="398">
        <v>0.125</v>
      </c>
      <c r="I2358" s="399">
        <f t="shared" si="104"/>
        <v>3.98</v>
      </c>
      <c r="J2358" s="396"/>
    </row>
    <row r="2359" spans="1:10" s="367" customFormat="1" ht="22.5" customHeight="1">
      <c r="A2359" s="395"/>
      <c r="B2359" s="401" t="s">
        <v>1472</v>
      </c>
      <c r="C2359" s="397">
        <v>3</v>
      </c>
      <c r="D2359" s="397">
        <v>1</v>
      </c>
      <c r="E2359" s="397">
        <v>2</v>
      </c>
      <c r="F2359" s="410">
        <v>11.26</v>
      </c>
      <c r="G2359" s="410" t="s">
        <v>26</v>
      </c>
      <c r="H2359" s="398">
        <v>0.125</v>
      </c>
      <c r="I2359" s="399">
        <f t="shared" si="104"/>
        <v>8.4499999999999993</v>
      </c>
      <c r="J2359" s="396"/>
    </row>
    <row r="2360" spans="1:10" s="367" customFormat="1" ht="22.5" customHeight="1">
      <c r="A2360" s="395"/>
      <c r="B2360" s="401" t="s">
        <v>1473</v>
      </c>
      <c r="C2360" s="397">
        <v>3</v>
      </c>
      <c r="D2360" s="397">
        <v>1</v>
      </c>
      <c r="E2360" s="397">
        <v>1</v>
      </c>
      <c r="F2360" s="410">
        <v>11.96</v>
      </c>
      <c r="G2360" s="410" t="s">
        <v>26</v>
      </c>
      <c r="H2360" s="398">
        <v>0.125</v>
      </c>
      <c r="I2360" s="399">
        <f t="shared" si="104"/>
        <v>4.49</v>
      </c>
      <c r="J2360" s="396"/>
    </row>
    <row r="2361" spans="1:10" s="367" customFormat="1" ht="22.5" customHeight="1">
      <c r="A2361" s="395"/>
      <c r="B2361" s="396" t="s">
        <v>1474</v>
      </c>
      <c r="C2361" s="397"/>
      <c r="D2361" s="397"/>
      <c r="E2361" s="397"/>
      <c r="F2361" s="410"/>
      <c r="G2361" s="410"/>
      <c r="H2361" s="398"/>
      <c r="I2361" s="399"/>
      <c r="J2361" s="396"/>
    </row>
    <row r="2362" spans="1:10" s="367" customFormat="1" ht="22.5" customHeight="1">
      <c r="A2362" s="395"/>
      <c r="B2362" s="401" t="s">
        <v>303</v>
      </c>
      <c r="C2362" s="397">
        <v>3</v>
      </c>
      <c r="D2362" s="397">
        <v>1</v>
      </c>
      <c r="E2362" s="397">
        <v>5</v>
      </c>
      <c r="F2362" s="410">
        <v>0.45</v>
      </c>
      <c r="G2362" s="410">
        <v>7.0000000000000007E-2</v>
      </c>
      <c r="H2362" s="398" t="s">
        <v>26</v>
      </c>
      <c r="I2362" s="399">
        <f>PRODUCT(C2362:H2362)</f>
        <v>0.47</v>
      </c>
      <c r="J2362" s="396"/>
    </row>
    <row r="2363" spans="1:10" s="367" customFormat="1" ht="22.5" customHeight="1">
      <c r="A2363" s="395"/>
      <c r="B2363" s="401" t="s">
        <v>1360</v>
      </c>
      <c r="C2363" s="397">
        <v>3</v>
      </c>
      <c r="D2363" s="397">
        <v>1</v>
      </c>
      <c r="E2363" s="397">
        <v>2</v>
      </c>
      <c r="F2363" s="410">
        <v>0.6</v>
      </c>
      <c r="G2363" s="410">
        <v>7.0000000000000007E-2</v>
      </c>
      <c r="H2363" s="398" t="s">
        <v>26</v>
      </c>
      <c r="I2363" s="399">
        <f>PRODUCT(C2363:H2363)</f>
        <v>0.25</v>
      </c>
      <c r="J2363" s="396"/>
    </row>
    <row r="2364" spans="1:10" s="367" customFormat="1" ht="22.5" customHeight="1">
      <c r="A2364" s="395"/>
      <c r="B2364" s="396" t="s">
        <v>1480</v>
      </c>
      <c r="C2364" s="397"/>
      <c r="D2364" s="397"/>
      <c r="E2364" s="397"/>
      <c r="F2364" s="410"/>
      <c r="G2364" s="410"/>
      <c r="H2364" s="398"/>
      <c r="I2364" s="399"/>
      <c r="J2364" s="396"/>
    </row>
    <row r="2365" spans="1:10" s="367" customFormat="1" ht="22.5" customHeight="1">
      <c r="A2365" s="395"/>
      <c r="B2365" s="396" t="s">
        <v>1475</v>
      </c>
      <c r="C2365" s="397"/>
      <c r="D2365" s="397"/>
      <c r="E2365" s="397"/>
      <c r="F2365" s="410"/>
      <c r="G2365" s="410"/>
      <c r="H2365" s="410"/>
      <c r="I2365" s="399"/>
      <c r="J2365" s="396"/>
    </row>
    <row r="2366" spans="1:10" s="367" customFormat="1" ht="22.5" customHeight="1">
      <c r="A2366" s="395"/>
      <c r="B2366" s="401" t="s">
        <v>303</v>
      </c>
      <c r="C2366" s="397">
        <v>3</v>
      </c>
      <c r="D2366" s="397">
        <v>1</v>
      </c>
      <c r="E2366" s="397">
        <v>1</v>
      </c>
      <c r="F2366" s="410">
        <v>0.45</v>
      </c>
      <c r="G2366" s="410">
        <v>7.0000000000000007E-2</v>
      </c>
      <c r="H2366" s="398" t="s">
        <v>26</v>
      </c>
      <c r="I2366" s="399">
        <f>PRODUCT(C2366:H2366)</f>
        <v>0.09</v>
      </c>
      <c r="J2366" s="396"/>
    </row>
    <row r="2367" spans="1:10" s="367" customFormat="1" ht="22.5" customHeight="1">
      <c r="A2367" s="395"/>
      <c r="B2367" s="396" t="s">
        <v>1476</v>
      </c>
      <c r="C2367" s="397"/>
      <c r="D2367" s="397"/>
      <c r="E2367" s="397"/>
      <c r="F2367" s="410"/>
      <c r="G2367" s="410"/>
      <c r="H2367" s="398"/>
      <c r="I2367" s="399"/>
      <c r="J2367" s="396"/>
    </row>
    <row r="2368" spans="1:10" s="367" customFormat="1" ht="22.5" customHeight="1">
      <c r="A2368" s="395"/>
      <c r="B2368" s="401" t="s">
        <v>1360</v>
      </c>
      <c r="C2368" s="397">
        <v>3</v>
      </c>
      <c r="D2368" s="397">
        <v>1</v>
      </c>
      <c r="E2368" s="397">
        <v>7</v>
      </c>
      <c r="F2368" s="410">
        <v>0.6</v>
      </c>
      <c r="G2368" s="410">
        <v>7.0000000000000007E-2</v>
      </c>
      <c r="H2368" s="398" t="s">
        <v>26</v>
      </c>
      <c r="I2368" s="399">
        <f>PRODUCT(C2368:H2368)</f>
        <v>0.88</v>
      </c>
      <c r="J2368" s="396"/>
    </row>
    <row r="2369" spans="1:10" s="367" customFormat="1" ht="22.5" customHeight="1">
      <c r="A2369" s="395"/>
      <c r="B2369" s="401" t="s">
        <v>302</v>
      </c>
      <c r="C2369" s="397">
        <v>3</v>
      </c>
      <c r="D2369" s="397">
        <v>1</v>
      </c>
      <c r="E2369" s="397">
        <v>14</v>
      </c>
      <c r="F2369" s="410">
        <v>0.75</v>
      </c>
      <c r="G2369" s="410">
        <v>7.0000000000000007E-2</v>
      </c>
      <c r="H2369" s="398" t="s">
        <v>26</v>
      </c>
      <c r="I2369" s="399">
        <f>PRODUCT(C2369:H2369)</f>
        <v>2.21</v>
      </c>
      <c r="J2369" s="396"/>
    </row>
    <row r="2370" spans="1:10" s="367" customFormat="1" ht="22.5" customHeight="1">
      <c r="A2370" s="395"/>
      <c r="B2370" s="401" t="s">
        <v>301</v>
      </c>
      <c r="C2370" s="397">
        <v>3</v>
      </c>
      <c r="D2370" s="397">
        <v>1</v>
      </c>
      <c r="E2370" s="397">
        <v>5</v>
      </c>
      <c r="F2370" s="410">
        <v>0.9</v>
      </c>
      <c r="G2370" s="410">
        <v>7.0000000000000007E-2</v>
      </c>
      <c r="H2370" s="398" t="s">
        <v>26</v>
      </c>
      <c r="I2370" s="399">
        <f>PRODUCT(C2370:H2370)</f>
        <v>0.95</v>
      </c>
      <c r="J2370" s="396"/>
    </row>
    <row r="2371" spans="1:10" s="367" customFormat="1" ht="22.5" customHeight="1">
      <c r="A2371" s="395"/>
      <c r="B2371" s="396" t="s">
        <v>1477</v>
      </c>
      <c r="C2371" s="397"/>
      <c r="D2371" s="397"/>
      <c r="E2371" s="397"/>
      <c r="F2371" s="410"/>
      <c r="G2371" s="410"/>
      <c r="H2371" s="398"/>
      <c r="I2371" s="399"/>
      <c r="J2371" s="396"/>
    </row>
    <row r="2372" spans="1:10" s="367" customFormat="1" ht="22.5" customHeight="1">
      <c r="A2372" s="395"/>
      <c r="B2372" s="401" t="s">
        <v>303</v>
      </c>
      <c r="C2372" s="397">
        <v>3</v>
      </c>
      <c r="D2372" s="397">
        <v>1</v>
      </c>
      <c r="E2372" s="397">
        <v>8</v>
      </c>
      <c r="F2372" s="410">
        <v>0.45</v>
      </c>
      <c r="G2372" s="410">
        <v>7.0000000000000007E-2</v>
      </c>
      <c r="H2372" s="398" t="s">
        <v>26</v>
      </c>
      <c r="I2372" s="399">
        <f>PRODUCT(C2372:H2372)</f>
        <v>0.76</v>
      </c>
      <c r="J2372" s="396"/>
    </row>
    <row r="2373" spans="1:10" s="367" customFormat="1" ht="22.5" customHeight="1">
      <c r="A2373" s="395"/>
      <c r="B2373" s="401" t="s">
        <v>1360</v>
      </c>
      <c r="C2373" s="397">
        <v>3</v>
      </c>
      <c r="D2373" s="397">
        <v>1</v>
      </c>
      <c r="E2373" s="397">
        <v>12</v>
      </c>
      <c r="F2373" s="410">
        <v>0.6</v>
      </c>
      <c r="G2373" s="410">
        <v>7.0000000000000007E-2</v>
      </c>
      <c r="H2373" s="398" t="s">
        <v>26</v>
      </c>
      <c r="I2373" s="399">
        <f>PRODUCT(C2373:H2373)</f>
        <v>1.51</v>
      </c>
      <c r="J2373" s="396"/>
    </row>
    <row r="2374" spans="1:10" s="367" customFormat="1" ht="22.5" customHeight="1">
      <c r="A2374" s="395"/>
      <c r="B2374" s="396" t="s">
        <v>1478</v>
      </c>
      <c r="C2374" s="397"/>
      <c r="D2374" s="397"/>
      <c r="E2374" s="397"/>
      <c r="F2374" s="410"/>
      <c r="G2374" s="410"/>
      <c r="H2374" s="398"/>
      <c r="I2374" s="399"/>
      <c r="J2374" s="396"/>
    </row>
    <row r="2375" spans="1:10" s="367" customFormat="1" ht="22.5" customHeight="1">
      <c r="A2375" s="395"/>
      <c r="B2375" s="401" t="s">
        <v>303</v>
      </c>
      <c r="C2375" s="397">
        <v>3</v>
      </c>
      <c r="D2375" s="397">
        <v>1</v>
      </c>
      <c r="E2375" s="397">
        <v>2</v>
      </c>
      <c r="F2375" s="410">
        <v>0.45</v>
      </c>
      <c r="G2375" s="410">
        <v>7.0000000000000007E-2</v>
      </c>
      <c r="H2375" s="398" t="s">
        <v>26</v>
      </c>
      <c r="I2375" s="399">
        <f>PRODUCT(C2375:H2375)</f>
        <v>0.19</v>
      </c>
      <c r="J2375" s="396"/>
    </row>
    <row r="2376" spans="1:10" s="367" customFormat="1" ht="22.5" customHeight="1">
      <c r="A2376" s="395"/>
      <c r="B2376" s="401" t="s">
        <v>302</v>
      </c>
      <c r="C2376" s="397">
        <v>3</v>
      </c>
      <c r="D2376" s="397">
        <v>1</v>
      </c>
      <c r="E2376" s="397">
        <v>10</v>
      </c>
      <c r="F2376" s="410">
        <v>0.75</v>
      </c>
      <c r="G2376" s="410">
        <v>7.0000000000000007E-2</v>
      </c>
      <c r="H2376" s="398" t="s">
        <v>26</v>
      </c>
      <c r="I2376" s="399">
        <f>PRODUCT(C2376:H2376)</f>
        <v>1.58</v>
      </c>
      <c r="J2376" s="396"/>
    </row>
    <row r="2377" spans="1:10" s="367" customFormat="1" ht="22.5" customHeight="1">
      <c r="A2377" s="395"/>
      <c r="B2377" s="401" t="s">
        <v>301</v>
      </c>
      <c r="C2377" s="397">
        <v>3</v>
      </c>
      <c r="D2377" s="397">
        <v>1</v>
      </c>
      <c r="E2377" s="397">
        <v>10</v>
      </c>
      <c r="F2377" s="410">
        <v>0.9</v>
      </c>
      <c r="G2377" s="410">
        <v>7.0000000000000007E-2</v>
      </c>
      <c r="H2377" s="398" t="s">
        <v>26</v>
      </c>
      <c r="I2377" s="399">
        <f>PRODUCT(C2377:H2377)</f>
        <v>1.89</v>
      </c>
      <c r="J2377" s="396"/>
    </row>
    <row r="2378" spans="1:10" s="367" customFormat="1" ht="22.5" customHeight="1">
      <c r="A2378" s="395"/>
      <c r="B2378" s="396" t="s">
        <v>1479</v>
      </c>
      <c r="C2378" s="397"/>
      <c r="D2378" s="397"/>
      <c r="E2378" s="397"/>
      <c r="F2378" s="410"/>
      <c r="G2378" s="410"/>
      <c r="H2378" s="398"/>
      <c r="I2378" s="399"/>
      <c r="J2378" s="396"/>
    </row>
    <row r="2379" spans="1:10" s="367" customFormat="1" ht="22.5" customHeight="1">
      <c r="A2379" s="395"/>
      <c r="B2379" s="401" t="s">
        <v>303</v>
      </c>
      <c r="C2379" s="397">
        <v>3</v>
      </c>
      <c r="D2379" s="397">
        <v>1</v>
      </c>
      <c r="E2379" s="397">
        <v>10</v>
      </c>
      <c r="F2379" s="410">
        <v>0.45</v>
      </c>
      <c r="G2379" s="410">
        <v>7.0000000000000007E-2</v>
      </c>
      <c r="H2379" s="398" t="s">
        <v>26</v>
      </c>
      <c r="I2379" s="399">
        <f>PRODUCT(C2379:H2379)</f>
        <v>0.95</v>
      </c>
      <c r="J2379" s="396"/>
    </row>
    <row r="2380" spans="1:10" s="367" customFormat="1" ht="22.5" customHeight="1">
      <c r="A2380" s="395"/>
      <c r="B2380" s="401" t="s">
        <v>1360</v>
      </c>
      <c r="C2380" s="397">
        <v>3</v>
      </c>
      <c r="D2380" s="397">
        <v>1</v>
      </c>
      <c r="E2380" s="397">
        <v>20</v>
      </c>
      <c r="F2380" s="410">
        <v>0.6</v>
      </c>
      <c r="G2380" s="410">
        <v>7.0000000000000007E-2</v>
      </c>
      <c r="H2380" s="398" t="s">
        <v>26</v>
      </c>
      <c r="I2380" s="399">
        <f>PRODUCT(C2380:H2380)</f>
        <v>2.52</v>
      </c>
      <c r="J2380" s="396"/>
    </row>
    <row r="2381" spans="1:10" s="367" customFormat="1" ht="22.5" customHeight="1">
      <c r="A2381" s="395"/>
      <c r="B2381" s="396" t="s">
        <v>1379</v>
      </c>
      <c r="C2381" s="397"/>
      <c r="D2381" s="397"/>
      <c r="E2381" s="397"/>
      <c r="F2381" s="410"/>
      <c r="G2381" s="410"/>
      <c r="H2381" s="410"/>
      <c r="I2381" s="399"/>
      <c r="J2381" s="396"/>
    </row>
    <row r="2382" spans="1:10" s="367" customFormat="1" ht="22.5" customHeight="1">
      <c r="A2382" s="395"/>
      <c r="B2382" s="401" t="s">
        <v>1481</v>
      </c>
      <c r="C2382" s="397">
        <v>3</v>
      </c>
      <c r="D2382" s="397">
        <v>2</v>
      </c>
      <c r="E2382" s="397">
        <v>5</v>
      </c>
      <c r="F2382" s="410">
        <v>47.03</v>
      </c>
      <c r="G2382" s="410" t="s">
        <v>26</v>
      </c>
      <c r="H2382" s="398">
        <v>0.27500000000000002</v>
      </c>
      <c r="I2382" s="399">
        <f t="shared" ref="I2382:I2406" si="105">PRODUCT(C2382:H2382)</f>
        <v>388</v>
      </c>
      <c r="J2382" s="396"/>
    </row>
    <row r="2383" spans="1:10" s="367" customFormat="1" ht="22.5" customHeight="1">
      <c r="A2383" s="395"/>
      <c r="B2383" s="401" t="s">
        <v>1482</v>
      </c>
      <c r="C2383" s="397">
        <v>3</v>
      </c>
      <c r="D2383" s="397">
        <v>2</v>
      </c>
      <c r="E2383" s="397">
        <v>5</v>
      </c>
      <c r="F2383" s="410">
        <v>8.9</v>
      </c>
      <c r="G2383" s="410" t="s">
        <v>26</v>
      </c>
      <c r="H2383" s="398">
        <v>0.27500000000000002</v>
      </c>
      <c r="I2383" s="399">
        <f t="shared" si="105"/>
        <v>73.430000000000007</v>
      </c>
      <c r="J2383" s="396"/>
    </row>
    <row r="2384" spans="1:10" s="367" customFormat="1" ht="22.5" customHeight="1">
      <c r="A2384" s="395"/>
      <c r="B2384" s="401" t="s">
        <v>1482</v>
      </c>
      <c r="C2384" s="397">
        <v>3</v>
      </c>
      <c r="D2384" s="397">
        <v>2</v>
      </c>
      <c r="E2384" s="397">
        <v>10</v>
      </c>
      <c r="F2384" s="410">
        <v>8.9</v>
      </c>
      <c r="G2384" s="410" t="s">
        <v>26</v>
      </c>
      <c r="H2384" s="398">
        <v>0.47499999999999998</v>
      </c>
      <c r="I2384" s="399">
        <f t="shared" si="105"/>
        <v>253.65</v>
      </c>
      <c r="J2384" s="396"/>
    </row>
    <row r="2385" spans="1:10" s="367" customFormat="1" ht="22.5" customHeight="1">
      <c r="A2385" s="395"/>
      <c r="B2385" s="401" t="s">
        <v>1382</v>
      </c>
      <c r="C2385" s="397">
        <v>3</v>
      </c>
      <c r="D2385" s="397">
        <v>2</v>
      </c>
      <c r="E2385" s="397">
        <v>10</v>
      </c>
      <c r="F2385" s="410">
        <v>3.35</v>
      </c>
      <c r="G2385" s="410" t="s">
        <v>26</v>
      </c>
      <c r="H2385" s="398">
        <v>0.27500000000000002</v>
      </c>
      <c r="I2385" s="399">
        <f t="shared" si="105"/>
        <v>55.28</v>
      </c>
      <c r="J2385" s="396"/>
    </row>
    <row r="2386" spans="1:10" s="367" customFormat="1" ht="33">
      <c r="A2386" s="395"/>
      <c r="B2386" s="401" t="s">
        <v>1483</v>
      </c>
      <c r="C2386" s="397">
        <v>3</v>
      </c>
      <c r="D2386" s="397">
        <v>2</v>
      </c>
      <c r="E2386" s="397">
        <v>30</v>
      </c>
      <c r="F2386" s="410">
        <v>3.39</v>
      </c>
      <c r="G2386" s="410" t="s">
        <v>26</v>
      </c>
      <c r="H2386" s="398">
        <v>0.47499999999999998</v>
      </c>
      <c r="I2386" s="399">
        <f t="shared" si="105"/>
        <v>289.85000000000002</v>
      </c>
      <c r="J2386" s="396"/>
    </row>
    <row r="2387" spans="1:10" s="367" customFormat="1" ht="16.5">
      <c r="A2387" s="395"/>
      <c r="B2387" s="401" t="s">
        <v>1383</v>
      </c>
      <c r="C2387" s="397">
        <v>3</v>
      </c>
      <c r="D2387" s="397">
        <v>2</v>
      </c>
      <c r="E2387" s="397">
        <v>10</v>
      </c>
      <c r="F2387" s="410">
        <v>2.57</v>
      </c>
      <c r="G2387" s="410" t="s">
        <v>26</v>
      </c>
      <c r="H2387" s="398">
        <v>0.27500000000000002</v>
      </c>
      <c r="I2387" s="399">
        <f t="shared" si="105"/>
        <v>42.41</v>
      </c>
      <c r="J2387" s="396"/>
    </row>
    <row r="2388" spans="1:10" s="367" customFormat="1" ht="22.5" customHeight="1">
      <c r="A2388" s="395"/>
      <c r="B2388" s="401" t="s">
        <v>1484</v>
      </c>
      <c r="C2388" s="397">
        <v>3</v>
      </c>
      <c r="D2388" s="397">
        <v>2</v>
      </c>
      <c r="E2388" s="397">
        <v>10</v>
      </c>
      <c r="F2388" s="410">
        <v>0.99</v>
      </c>
      <c r="G2388" s="410" t="s">
        <v>26</v>
      </c>
      <c r="H2388" s="398">
        <v>0.27500000000000002</v>
      </c>
      <c r="I2388" s="399">
        <f t="shared" si="105"/>
        <v>16.34</v>
      </c>
      <c r="J2388" s="396"/>
    </row>
    <row r="2389" spans="1:10" s="367" customFormat="1" ht="22.5" customHeight="1">
      <c r="A2389" s="395"/>
      <c r="B2389" s="401" t="s">
        <v>1485</v>
      </c>
      <c r="C2389" s="397">
        <v>3</v>
      </c>
      <c r="D2389" s="397">
        <v>2</v>
      </c>
      <c r="E2389" s="397">
        <v>24</v>
      </c>
      <c r="F2389" s="410">
        <v>1.9</v>
      </c>
      <c r="G2389" s="410" t="s">
        <v>26</v>
      </c>
      <c r="H2389" s="398">
        <v>0.17499999999999999</v>
      </c>
      <c r="I2389" s="399">
        <f t="shared" si="105"/>
        <v>47.88</v>
      </c>
      <c r="J2389" s="396"/>
    </row>
    <row r="2390" spans="1:10" s="367" customFormat="1" ht="22.5" customHeight="1">
      <c r="A2390" s="395"/>
      <c r="B2390" s="401" t="s">
        <v>1486</v>
      </c>
      <c r="C2390" s="397">
        <v>3</v>
      </c>
      <c r="D2390" s="397">
        <v>2</v>
      </c>
      <c r="E2390" s="397">
        <v>2</v>
      </c>
      <c r="F2390" s="410">
        <v>26.73</v>
      </c>
      <c r="G2390" s="410" t="s">
        <v>26</v>
      </c>
      <c r="H2390" s="398">
        <v>0.32500000000000001</v>
      </c>
      <c r="I2390" s="399">
        <f t="shared" si="105"/>
        <v>104.25</v>
      </c>
      <c r="J2390" s="396"/>
    </row>
    <row r="2391" spans="1:10" s="367" customFormat="1" ht="22.5" customHeight="1">
      <c r="A2391" s="395"/>
      <c r="B2391" s="401" t="s">
        <v>1487</v>
      </c>
      <c r="C2391" s="397">
        <v>3</v>
      </c>
      <c r="D2391" s="397">
        <v>2</v>
      </c>
      <c r="E2391" s="397">
        <v>1</v>
      </c>
      <c r="F2391" s="410">
        <v>7.62</v>
      </c>
      <c r="G2391" s="410" t="s">
        <v>26</v>
      </c>
      <c r="H2391" s="398">
        <v>0.47499999999999998</v>
      </c>
      <c r="I2391" s="399">
        <f t="shared" si="105"/>
        <v>21.72</v>
      </c>
      <c r="J2391" s="396"/>
    </row>
    <row r="2392" spans="1:10" s="367" customFormat="1" ht="22.5" customHeight="1">
      <c r="A2392" s="395"/>
      <c r="B2392" s="401" t="s">
        <v>1488</v>
      </c>
      <c r="C2392" s="397">
        <v>3</v>
      </c>
      <c r="D2392" s="397">
        <v>2</v>
      </c>
      <c r="E2392" s="397">
        <v>1</v>
      </c>
      <c r="F2392" s="410">
        <v>8.39</v>
      </c>
      <c r="G2392" s="410" t="s">
        <v>26</v>
      </c>
      <c r="H2392" s="398">
        <v>0.47499999999999998</v>
      </c>
      <c r="I2392" s="399">
        <f t="shared" si="105"/>
        <v>23.91</v>
      </c>
      <c r="J2392" s="396"/>
    </row>
    <row r="2393" spans="1:10" s="367" customFormat="1" ht="22.5" customHeight="1">
      <c r="A2393" s="395"/>
      <c r="B2393" s="401" t="s">
        <v>1489</v>
      </c>
      <c r="C2393" s="397">
        <v>3</v>
      </c>
      <c r="D2393" s="397">
        <v>2</v>
      </c>
      <c r="E2393" s="397">
        <v>1</v>
      </c>
      <c r="F2393" s="410">
        <v>6.06</v>
      </c>
      <c r="G2393" s="410" t="s">
        <v>26</v>
      </c>
      <c r="H2393" s="398">
        <v>0.17499999999999999</v>
      </c>
      <c r="I2393" s="399">
        <f t="shared" si="105"/>
        <v>6.36</v>
      </c>
      <c r="J2393" s="396"/>
    </row>
    <row r="2394" spans="1:10" s="367" customFormat="1" ht="22.5" customHeight="1">
      <c r="A2394" s="395"/>
      <c r="B2394" s="401" t="s">
        <v>1489</v>
      </c>
      <c r="C2394" s="397">
        <v>3</v>
      </c>
      <c r="D2394" s="397">
        <v>2</v>
      </c>
      <c r="E2394" s="397">
        <v>2</v>
      </c>
      <c r="F2394" s="410">
        <v>2.85</v>
      </c>
      <c r="G2394" s="410" t="s">
        <v>26</v>
      </c>
      <c r="H2394" s="398">
        <v>0.47499999999999998</v>
      </c>
      <c r="I2394" s="399">
        <f t="shared" si="105"/>
        <v>16.25</v>
      </c>
      <c r="J2394" s="396"/>
    </row>
    <row r="2395" spans="1:10" s="367" customFormat="1" ht="16.5">
      <c r="A2395" s="395"/>
      <c r="B2395" s="401" t="s">
        <v>1490</v>
      </c>
      <c r="C2395" s="397">
        <v>3</v>
      </c>
      <c r="D2395" s="397">
        <v>2</v>
      </c>
      <c r="E2395" s="397">
        <v>1</v>
      </c>
      <c r="F2395" s="410">
        <v>4.2300000000000004</v>
      </c>
      <c r="G2395" s="410" t="s">
        <v>26</v>
      </c>
      <c r="H2395" s="398">
        <v>0.47499999999999998</v>
      </c>
      <c r="I2395" s="399">
        <f t="shared" si="105"/>
        <v>12.06</v>
      </c>
      <c r="J2395" s="396"/>
    </row>
    <row r="2396" spans="1:10" s="367" customFormat="1" ht="22.5" customHeight="1">
      <c r="A2396" s="395"/>
      <c r="B2396" s="401" t="s">
        <v>1491</v>
      </c>
      <c r="C2396" s="397">
        <v>3</v>
      </c>
      <c r="D2396" s="397">
        <v>2</v>
      </c>
      <c r="E2396" s="397">
        <v>2</v>
      </c>
      <c r="F2396" s="410">
        <v>3.76</v>
      </c>
      <c r="G2396" s="410" t="s">
        <v>26</v>
      </c>
      <c r="H2396" s="398">
        <v>0.32500000000000001</v>
      </c>
      <c r="I2396" s="399">
        <f t="shared" si="105"/>
        <v>14.66</v>
      </c>
      <c r="J2396" s="396"/>
    </row>
    <row r="2397" spans="1:10" s="367" customFormat="1" ht="22.5" customHeight="1">
      <c r="A2397" s="395"/>
      <c r="B2397" s="401" t="s">
        <v>1492</v>
      </c>
      <c r="C2397" s="397">
        <v>3</v>
      </c>
      <c r="D2397" s="397">
        <v>2</v>
      </c>
      <c r="E2397" s="397">
        <v>1</v>
      </c>
      <c r="F2397" s="410">
        <v>3.7</v>
      </c>
      <c r="G2397" s="410" t="s">
        <v>26</v>
      </c>
      <c r="H2397" s="398">
        <v>0.32500000000000001</v>
      </c>
      <c r="I2397" s="399">
        <f t="shared" si="105"/>
        <v>7.22</v>
      </c>
      <c r="J2397" s="396"/>
    </row>
    <row r="2398" spans="1:10" s="367" customFormat="1" ht="22.5" customHeight="1">
      <c r="A2398" s="395"/>
      <c r="B2398" s="401" t="s">
        <v>1493</v>
      </c>
      <c r="C2398" s="397">
        <v>3</v>
      </c>
      <c r="D2398" s="397">
        <v>2</v>
      </c>
      <c r="E2398" s="397">
        <v>2</v>
      </c>
      <c r="F2398" s="410">
        <v>2.5299999999999998</v>
      </c>
      <c r="G2398" s="410" t="s">
        <v>26</v>
      </c>
      <c r="H2398" s="398">
        <v>0.17499999999999999</v>
      </c>
      <c r="I2398" s="399">
        <f t="shared" si="105"/>
        <v>5.31</v>
      </c>
      <c r="J2398" s="396"/>
    </row>
    <row r="2399" spans="1:10" s="367" customFormat="1" ht="22.5" customHeight="1">
      <c r="A2399" s="395"/>
      <c r="B2399" s="401" t="s">
        <v>1494</v>
      </c>
      <c r="C2399" s="397">
        <v>3</v>
      </c>
      <c r="D2399" s="397">
        <v>2</v>
      </c>
      <c r="E2399" s="397">
        <v>1</v>
      </c>
      <c r="F2399" s="410">
        <v>3.69</v>
      </c>
      <c r="G2399" s="410" t="s">
        <v>26</v>
      </c>
      <c r="H2399" s="398">
        <v>0.32500000000000001</v>
      </c>
      <c r="I2399" s="399">
        <f t="shared" si="105"/>
        <v>7.2</v>
      </c>
      <c r="J2399" s="396"/>
    </row>
    <row r="2400" spans="1:10" s="367" customFormat="1" ht="22.5" customHeight="1">
      <c r="A2400" s="395"/>
      <c r="B2400" s="401" t="s">
        <v>1495</v>
      </c>
      <c r="C2400" s="397">
        <v>3</v>
      </c>
      <c r="D2400" s="397">
        <v>2</v>
      </c>
      <c r="E2400" s="397">
        <v>2</v>
      </c>
      <c r="F2400" s="410">
        <v>3.31</v>
      </c>
      <c r="G2400" s="410" t="s">
        <v>26</v>
      </c>
      <c r="H2400" s="398">
        <v>0.27500000000000002</v>
      </c>
      <c r="I2400" s="399">
        <f t="shared" si="105"/>
        <v>10.92</v>
      </c>
      <c r="J2400" s="396"/>
    </row>
    <row r="2401" spans="1:10" s="367" customFormat="1" ht="22.5" customHeight="1">
      <c r="A2401" s="395"/>
      <c r="B2401" s="401" t="s">
        <v>1496</v>
      </c>
      <c r="C2401" s="397">
        <v>3</v>
      </c>
      <c r="D2401" s="397">
        <v>2</v>
      </c>
      <c r="E2401" s="397">
        <v>2</v>
      </c>
      <c r="F2401" s="410">
        <v>2.85</v>
      </c>
      <c r="G2401" s="410" t="s">
        <v>26</v>
      </c>
      <c r="H2401" s="398">
        <v>0.32500000000000001</v>
      </c>
      <c r="I2401" s="399">
        <f t="shared" si="105"/>
        <v>11.12</v>
      </c>
      <c r="J2401" s="396"/>
    </row>
    <row r="2402" spans="1:10" s="367" customFormat="1" ht="22.5" customHeight="1">
      <c r="A2402" s="395"/>
      <c r="B2402" s="401" t="s">
        <v>1497</v>
      </c>
      <c r="C2402" s="397">
        <v>3</v>
      </c>
      <c r="D2402" s="397">
        <v>2</v>
      </c>
      <c r="E2402" s="397">
        <v>2</v>
      </c>
      <c r="F2402" s="410">
        <v>3.67</v>
      </c>
      <c r="G2402" s="410" t="s">
        <v>26</v>
      </c>
      <c r="H2402" s="398">
        <v>0.32500000000000001</v>
      </c>
      <c r="I2402" s="399">
        <f t="shared" si="105"/>
        <v>14.31</v>
      </c>
      <c r="J2402" s="396"/>
    </row>
    <row r="2403" spans="1:10" s="367" customFormat="1" ht="22.5" customHeight="1">
      <c r="A2403" s="395"/>
      <c r="B2403" s="401" t="s">
        <v>1498</v>
      </c>
      <c r="C2403" s="397">
        <v>3</v>
      </c>
      <c r="D2403" s="397">
        <v>2</v>
      </c>
      <c r="E2403" s="397">
        <v>2</v>
      </c>
      <c r="F2403" s="410">
        <v>5.23</v>
      </c>
      <c r="G2403" s="410" t="s">
        <v>26</v>
      </c>
      <c r="H2403" s="398">
        <v>0.32500000000000001</v>
      </c>
      <c r="I2403" s="399">
        <f t="shared" si="105"/>
        <v>20.399999999999999</v>
      </c>
      <c r="J2403" s="396"/>
    </row>
    <row r="2404" spans="1:10" s="367" customFormat="1" ht="22.5" customHeight="1">
      <c r="A2404" s="395"/>
      <c r="B2404" s="401" t="s">
        <v>1499</v>
      </c>
      <c r="C2404" s="397">
        <v>3</v>
      </c>
      <c r="D2404" s="397">
        <v>2</v>
      </c>
      <c r="E2404" s="397">
        <v>4</v>
      </c>
      <c r="F2404" s="410">
        <v>2.7</v>
      </c>
      <c r="G2404" s="410" t="s">
        <v>26</v>
      </c>
      <c r="H2404" s="398">
        <v>0.27500000000000002</v>
      </c>
      <c r="I2404" s="399">
        <f t="shared" si="105"/>
        <v>17.82</v>
      </c>
      <c r="J2404" s="396"/>
    </row>
    <row r="2405" spans="1:10" s="367" customFormat="1" ht="22.5" customHeight="1">
      <c r="A2405" s="395"/>
      <c r="B2405" s="401" t="s">
        <v>1410</v>
      </c>
      <c r="C2405" s="397">
        <v>3</v>
      </c>
      <c r="D2405" s="397">
        <v>2</v>
      </c>
      <c r="E2405" s="397">
        <v>2</v>
      </c>
      <c r="F2405" s="410">
        <v>2.8</v>
      </c>
      <c r="G2405" s="410" t="s">
        <v>26</v>
      </c>
      <c r="H2405" s="398">
        <v>0.32500000000000001</v>
      </c>
      <c r="I2405" s="399">
        <f t="shared" si="105"/>
        <v>10.92</v>
      </c>
      <c r="J2405" s="396"/>
    </row>
    <row r="2406" spans="1:10" s="367" customFormat="1" ht="22.5" customHeight="1">
      <c r="A2406" s="395"/>
      <c r="B2406" s="401" t="s">
        <v>1500</v>
      </c>
      <c r="C2406" s="397">
        <v>3</v>
      </c>
      <c r="D2406" s="397">
        <v>2</v>
      </c>
      <c r="E2406" s="397">
        <v>4</v>
      </c>
      <c r="F2406" s="410">
        <v>7.43</v>
      </c>
      <c r="G2406" s="410" t="s">
        <v>26</v>
      </c>
      <c r="H2406" s="398">
        <v>0.2</v>
      </c>
      <c r="I2406" s="399">
        <f t="shared" si="105"/>
        <v>35.659999999999997</v>
      </c>
      <c r="J2406" s="396"/>
    </row>
    <row r="2407" spans="1:10" s="367" customFormat="1" ht="22.5" customHeight="1">
      <c r="A2407" s="395"/>
      <c r="B2407" s="396" t="s">
        <v>944</v>
      </c>
      <c r="C2407" s="397"/>
      <c r="D2407" s="397"/>
      <c r="E2407" s="397"/>
      <c r="F2407" s="410"/>
      <c r="G2407" s="410"/>
      <c r="H2407" s="398"/>
      <c r="I2407" s="399"/>
      <c r="J2407" s="396"/>
    </row>
    <row r="2408" spans="1:10" s="367" customFormat="1" ht="22.5" customHeight="1">
      <c r="A2408" s="395"/>
      <c r="B2408" s="401" t="s">
        <v>994</v>
      </c>
      <c r="C2408" s="397">
        <v>-3</v>
      </c>
      <c r="D2408" s="397">
        <v>1</v>
      </c>
      <c r="E2408" s="397">
        <v>2</v>
      </c>
      <c r="F2408" s="410">
        <v>2.6</v>
      </c>
      <c r="G2408" s="410">
        <v>1.9</v>
      </c>
      <c r="H2408" s="398" t="s">
        <v>26</v>
      </c>
      <c r="I2408" s="399">
        <f t="shared" ref="I2408:I2430" si="106">PRODUCT(C2408:H2408)</f>
        <v>-29.64</v>
      </c>
      <c r="J2408" s="396"/>
    </row>
    <row r="2409" spans="1:10" s="367" customFormat="1" ht="22.5" customHeight="1">
      <c r="A2409" s="395"/>
      <c r="B2409" s="401" t="s">
        <v>1331</v>
      </c>
      <c r="C2409" s="397">
        <v>-3</v>
      </c>
      <c r="D2409" s="397">
        <v>1</v>
      </c>
      <c r="E2409" s="397">
        <v>1</v>
      </c>
      <c r="F2409" s="410">
        <v>2.2999999999999998</v>
      </c>
      <c r="G2409" s="410">
        <v>3</v>
      </c>
      <c r="H2409" s="398" t="s">
        <v>26</v>
      </c>
      <c r="I2409" s="399">
        <f t="shared" si="106"/>
        <v>-20.7</v>
      </c>
      <c r="J2409" s="396"/>
    </row>
    <row r="2410" spans="1:10" s="367" customFormat="1" ht="22.5" customHeight="1">
      <c r="A2410" s="395"/>
      <c r="B2410" s="401" t="s">
        <v>1401</v>
      </c>
      <c r="C2410" s="397">
        <v>-3</v>
      </c>
      <c r="D2410" s="397">
        <v>1</v>
      </c>
      <c r="E2410" s="397">
        <v>6</v>
      </c>
      <c r="F2410" s="410">
        <v>3.1</v>
      </c>
      <c r="G2410" s="410">
        <v>1.9</v>
      </c>
      <c r="H2410" s="410" t="s">
        <v>26</v>
      </c>
      <c r="I2410" s="399">
        <f t="shared" si="106"/>
        <v>-106.02</v>
      </c>
      <c r="J2410" s="396"/>
    </row>
    <row r="2411" spans="1:10" s="367" customFormat="1" ht="22.5" customHeight="1">
      <c r="A2411" s="395"/>
      <c r="B2411" s="401" t="s">
        <v>1401</v>
      </c>
      <c r="C2411" s="397">
        <v>-3</v>
      </c>
      <c r="D2411" s="397">
        <v>1</v>
      </c>
      <c r="E2411" s="397">
        <v>2</v>
      </c>
      <c r="F2411" s="410">
        <v>2.5</v>
      </c>
      <c r="G2411" s="410">
        <v>1.9</v>
      </c>
      <c r="H2411" s="410" t="s">
        <v>26</v>
      </c>
      <c r="I2411" s="399">
        <f t="shared" si="106"/>
        <v>-28.5</v>
      </c>
      <c r="J2411" s="396"/>
    </row>
    <row r="2412" spans="1:10" s="367" customFormat="1" ht="22.5" customHeight="1">
      <c r="A2412" s="395"/>
      <c r="B2412" s="401" t="s">
        <v>1401</v>
      </c>
      <c r="C2412" s="397">
        <v>-3</v>
      </c>
      <c r="D2412" s="397">
        <v>1</v>
      </c>
      <c r="E2412" s="397">
        <v>2</v>
      </c>
      <c r="F2412" s="410">
        <v>1.86</v>
      </c>
      <c r="G2412" s="410">
        <v>1.9</v>
      </c>
      <c r="H2412" s="410" t="s">
        <v>26</v>
      </c>
      <c r="I2412" s="399">
        <f t="shared" si="106"/>
        <v>-21.2</v>
      </c>
      <c r="J2412" s="396"/>
    </row>
    <row r="2413" spans="1:10" s="367" customFormat="1" ht="22.5" customHeight="1">
      <c r="A2413" s="395"/>
      <c r="B2413" s="401" t="s">
        <v>1401</v>
      </c>
      <c r="C2413" s="397">
        <v>-3</v>
      </c>
      <c r="D2413" s="397">
        <v>1</v>
      </c>
      <c r="E2413" s="397">
        <v>2</v>
      </c>
      <c r="F2413" s="410">
        <v>1.23</v>
      </c>
      <c r="G2413" s="410">
        <v>0.67</v>
      </c>
      <c r="H2413" s="410" t="s">
        <v>26</v>
      </c>
      <c r="I2413" s="399">
        <f t="shared" si="106"/>
        <v>-4.9400000000000004</v>
      </c>
      <c r="J2413" s="396"/>
    </row>
    <row r="2414" spans="1:10" s="367" customFormat="1" ht="22.5" customHeight="1">
      <c r="A2414" s="395"/>
      <c r="B2414" s="401" t="s">
        <v>1401</v>
      </c>
      <c r="C2414" s="397">
        <v>-3</v>
      </c>
      <c r="D2414" s="410">
        <v>0.5</v>
      </c>
      <c r="E2414" s="397">
        <v>2</v>
      </c>
      <c r="F2414" s="410">
        <v>0.67</v>
      </c>
      <c r="G2414" s="410">
        <v>0.67</v>
      </c>
      <c r="H2414" s="410" t="s">
        <v>26</v>
      </c>
      <c r="I2414" s="399">
        <f t="shared" si="106"/>
        <v>-1.35</v>
      </c>
      <c r="J2414" s="396"/>
    </row>
    <row r="2415" spans="1:10" s="367" customFormat="1" ht="22.5" customHeight="1">
      <c r="A2415" s="395"/>
      <c r="B2415" s="401" t="s">
        <v>1402</v>
      </c>
      <c r="C2415" s="397">
        <v>-3</v>
      </c>
      <c r="D2415" s="397">
        <v>1</v>
      </c>
      <c r="E2415" s="397">
        <v>10</v>
      </c>
      <c r="F2415" s="410">
        <v>1.66</v>
      </c>
      <c r="G2415" s="398">
        <v>1.4450000000000001</v>
      </c>
      <c r="H2415" s="410" t="s">
        <v>26</v>
      </c>
      <c r="I2415" s="399">
        <f t="shared" si="106"/>
        <v>-71.959999999999994</v>
      </c>
      <c r="J2415" s="396"/>
    </row>
    <row r="2416" spans="1:10" s="367" customFormat="1" ht="22.5" customHeight="1">
      <c r="A2416" s="395"/>
      <c r="B2416" s="401" t="s">
        <v>971</v>
      </c>
      <c r="C2416" s="397">
        <v>-3</v>
      </c>
      <c r="D2416" s="397">
        <v>1</v>
      </c>
      <c r="E2416" s="397">
        <v>2</v>
      </c>
      <c r="F2416" s="398">
        <v>0.97</v>
      </c>
      <c r="G2416" s="398">
        <v>0.93500000000000005</v>
      </c>
      <c r="H2416" s="410" t="s">
        <v>26</v>
      </c>
      <c r="I2416" s="399">
        <f t="shared" si="106"/>
        <v>-5.44</v>
      </c>
      <c r="J2416" s="396"/>
    </row>
    <row r="2417" spans="1:10" s="367" customFormat="1" ht="22.5" customHeight="1">
      <c r="A2417" s="395"/>
      <c r="B2417" s="401" t="s">
        <v>1403</v>
      </c>
      <c r="C2417" s="397">
        <v>-3</v>
      </c>
      <c r="D2417" s="397">
        <v>1</v>
      </c>
      <c r="E2417" s="397">
        <v>2</v>
      </c>
      <c r="F2417" s="398">
        <v>0.69499999999999995</v>
      </c>
      <c r="G2417" s="398">
        <v>0.93500000000000005</v>
      </c>
      <c r="H2417" s="410" t="s">
        <v>26</v>
      </c>
      <c r="I2417" s="399">
        <f t="shared" si="106"/>
        <v>-3.9</v>
      </c>
      <c r="J2417" s="396"/>
    </row>
    <row r="2418" spans="1:10" s="367" customFormat="1" ht="22.5" customHeight="1">
      <c r="A2418" s="395"/>
      <c r="B2418" s="401" t="s">
        <v>1403</v>
      </c>
      <c r="C2418" s="397">
        <v>-3</v>
      </c>
      <c r="D2418" s="397">
        <v>1</v>
      </c>
      <c r="E2418" s="397">
        <v>4</v>
      </c>
      <c r="F2418" s="398">
        <v>0.75</v>
      </c>
      <c r="G2418" s="398">
        <v>0.63500000000000001</v>
      </c>
      <c r="H2418" s="410" t="s">
        <v>26</v>
      </c>
      <c r="I2418" s="399">
        <f t="shared" si="106"/>
        <v>-5.72</v>
      </c>
      <c r="J2418" s="396"/>
    </row>
    <row r="2419" spans="1:10" s="367" customFormat="1" ht="22.5" customHeight="1">
      <c r="A2419" s="395"/>
      <c r="B2419" s="401" t="s">
        <v>1403</v>
      </c>
      <c r="C2419" s="397">
        <v>-3</v>
      </c>
      <c r="D2419" s="397">
        <v>1</v>
      </c>
      <c r="E2419" s="397">
        <v>2</v>
      </c>
      <c r="F2419" s="398">
        <v>0.75</v>
      </c>
      <c r="G2419" s="398">
        <v>1.1499999999999999</v>
      </c>
      <c r="H2419" s="410" t="s">
        <v>26</v>
      </c>
      <c r="I2419" s="399">
        <f t="shared" si="106"/>
        <v>-5.18</v>
      </c>
      <c r="J2419" s="396"/>
    </row>
    <row r="2420" spans="1:10" s="367" customFormat="1" ht="22.5" customHeight="1">
      <c r="A2420" s="395"/>
      <c r="B2420" s="401" t="s">
        <v>1403</v>
      </c>
      <c r="C2420" s="397">
        <v>-3</v>
      </c>
      <c r="D2420" s="397">
        <v>1</v>
      </c>
      <c r="E2420" s="397">
        <v>2</v>
      </c>
      <c r="F2420" s="398">
        <v>0.63500000000000001</v>
      </c>
      <c r="G2420" s="398">
        <v>1.0049999999999999</v>
      </c>
      <c r="H2420" s="410" t="s">
        <v>26</v>
      </c>
      <c r="I2420" s="399">
        <f t="shared" si="106"/>
        <v>-3.83</v>
      </c>
      <c r="J2420" s="396"/>
    </row>
    <row r="2421" spans="1:10" s="367" customFormat="1" ht="22.5" customHeight="1">
      <c r="A2421" s="395"/>
      <c r="B2421" s="401" t="s">
        <v>1404</v>
      </c>
      <c r="C2421" s="397">
        <v>-3</v>
      </c>
      <c r="D2421" s="397">
        <v>1</v>
      </c>
      <c r="E2421" s="397">
        <v>2</v>
      </c>
      <c r="F2421" s="398">
        <v>0.63500000000000001</v>
      </c>
      <c r="G2421" s="398">
        <v>0.89500000000000002</v>
      </c>
      <c r="H2421" s="410" t="s">
        <v>26</v>
      </c>
      <c r="I2421" s="399">
        <f t="shared" si="106"/>
        <v>-3.41</v>
      </c>
      <c r="J2421" s="396"/>
    </row>
    <row r="2422" spans="1:10" s="367" customFormat="1" ht="22.5" customHeight="1">
      <c r="A2422" s="395"/>
      <c r="B2422" s="401" t="s">
        <v>1405</v>
      </c>
      <c r="C2422" s="397">
        <v>-3</v>
      </c>
      <c r="D2422" s="397">
        <v>1</v>
      </c>
      <c r="E2422" s="397">
        <v>2</v>
      </c>
      <c r="F2422" s="398">
        <v>1.155</v>
      </c>
      <c r="G2422" s="398">
        <v>1.1499999999999999</v>
      </c>
      <c r="H2422" s="410" t="s">
        <v>26</v>
      </c>
      <c r="I2422" s="399">
        <f t="shared" si="106"/>
        <v>-7.97</v>
      </c>
      <c r="J2422" s="396"/>
    </row>
    <row r="2423" spans="1:10" s="367" customFormat="1" ht="22.5" customHeight="1">
      <c r="A2423" s="395"/>
      <c r="B2423" s="401" t="s">
        <v>940</v>
      </c>
      <c r="C2423" s="397">
        <v>-3</v>
      </c>
      <c r="D2423" s="397">
        <v>1</v>
      </c>
      <c r="E2423" s="397">
        <v>2</v>
      </c>
      <c r="F2423" s="410">
        <v>2.85</v>
      </c>
      <c r="G2423" s="410">
        <v>4.2</v>
      </c>
      <c r="H2423" s="398" t="s">
        <v>26</v>
      </c>
      <c r="I2423" s="399">
        <f t="shared" si="106"/>
        <v>-71.819999999999993</v>
      </c>
      <c r="J2423" s="396"/>
    </row>
    <row r="2424" spans="1:10" s="367" customFormat="1" ht="22.5" customHeight="1">
      <c r="A2424" s="395"/>
      <c r="B2424" s="401" t="s">
        <v>1425</v>
      </c>
      <c r="C2424" s="397">
        <v>-3</v>
      </c>
      <c r="D2424" s="397">
        <v>1</v>
      </c>
      <c r="E2424" s="397">
        <v>1</v>
      </c>
      <c r="F2424" s="410">
        <v>4.22</v>
      </c>
      <c r="G2424" s="410">
        <v>3.53</v>
      </c>
      <c r="H2424" s="398" t="s">
        <v>26</v>
      </c>
      <c r="I2424" s="399">
        <f t="shared" si="106"/>
        <v>-44.69</v>
      </c>
      <c r="J2424" s="396"/>
    </row>
    <row r="2425" spans="1:10" s="367" customFormat="1" ht="22.5" customHeight="1">
      <c r="A2425" s="395"/>
      <c r="B2425" s="401" t="s">
        <v>1406</v>
      </c>
      <c r="C2425" s="397">
        <v>-3</v>
      </c>
      <c r="D2425" s="397">
        <v>1</v>
      </c>
      <c r="E2425" s="397">
        <v>2</v>
      </c>
      <c r="F2425" s="410">
        <v>1.9</v>
      </c>
      <c r="G2425" s="410">
        <v>5.23</v>
      </c>
      <c r="H2425" s="398" t="s">
        <v>26</v>
      </c>
      <c r="I2425" s="399">
        <f t="shared" si="106"/>
        <v>-59.62</v>
      </c>
      <c r="J2425" s="396"/>
    </row>
    <row r="2426" spans="1:10" s="367" customFormat="1" ht="22.5" customHeight="1">
      <c r="A2426" s="395"/>
      <c r="B2426" s="401" t="s">
        <v>1406</v>
      </c>
      <c r="C2426" s="397">
        <v>-3</v>
      </c>
      <c r="D2426" s="531">
        <v>0.5</v>
      </c>
      <c r="E2426" s="397">
        <v>2</v>
      </c>
      <c r="F2426" s="410">
        <v>1.25</v>
      </c>
      <c r="G2426" s="410">
        <v>1.84</v>
      </c>
      <c r="H2426" s="398" t="s">
        <v>26</v>
      </c>
      <c r="I2426" s="399">
        <f t="shared" si="106"/>
        <v>-6.9</v>
      </c>
      <c r="J2426" s="396"/>
    </row>
    <row r="2427" spans="1:10" s="367" customFormat="1" ht="16.5">
      <c r="A2427" s="395"/>
      <c r="B2427" s="401" t="s">
        <v>1502</v>
      </c>
      <c r="C2427" s="397">
        <v>-3</v>
      </c>
      <c r="D2427" s="397">
        <v>1</v>
      </c>
      <c r="E2427" s="397">
        <v>2</v>
      </c>
      <c r="F2427" s="410">
        <v>9.1300000000000008</v>
      </c>
      <c r="G2427" s="410">
        <v>3.65</v>
      </c>
      <c r="H2427" s="398" t="s">
        <v>26</v>
      </c>
      <c r="I2427" s="399">
        <f t="shared" si="106"/>
        <v>-199.95</v>
      </c>
      <c r="J2427" s="396"/>
    </row>
    <row r="2428" spans="1:10" s="368" customFormat="1" ht="22.5" customHeight="1">
      <c r="A2428" s="395"/>
      <c r="B2428" s="401" t="s">
        <v>1503</v>
      </c>
      <c r="C2428" s="397">
        <v>-3</v>
      </c>
      <c r="D2428" s="397">
        <v>1</v>
      </c>
      <c r="E2428" s="397">
        <v>2</v>
      </c>
      <c r="F2428" s="410">
        <v>5.28</v>
      </c>
      <c r="G2428" s="410">
        <v>1.43</v>
      </c>
      <c r="H2428" s="398" t="s">
        <v>26</v>
      </c>
      <c r="I2428" s="399">
        <f t="shared" si="106"/>
        <v>-45.3</v>
      </c>
      <c r="J2428" s="396"/>
    </row>
    <row r="2429" spans="1:10" s="368" customFormat="1" ht="32.25" customHeight="1">
      <c r="A2429" s="395"/>
      <c r="B2429" s="401" t="s">
        <v>1504</v>
      </c>
      <c r="C2429" s="397">
        <v>-3</v>
      </c>
      <c r="D2429" s="397">
        <v>1</v>
      </c>
      <c r="E2429" s="397">
        <v>2</v>
      </c>
      <c r="F2429" s="410">
        <v>3.7</v>
      </c>
      <c r="G2429" s="410">
        <v>9.1300000000000008</v>
      </c>
      <c r="H2429" s="398" t="s">
        <v>26</v>
      </c>
      <c r="I2429" s="399">
        <f t="shared" si="106"/>
        <v>-202.69</v>
      </c>
      <c r="J2429" s="396"/>
    </row>
    <row r="2430" spans="1:10" s="367" customFormat="1" ht="22.5" customHeight="1">
      <c r="A2430" s="395"/>
      <c r="B2430" s="401" t="s">
        <v>1505</v>
      </c>
      <c r="C2430" s="397">
        <v>-3</v>
      </c>
      <c r="D2430" s="397">
        <v>1</v>
      </c>
      <c r="E2430" s="397">
        <v>2</v>
      </c>
      <c r="F2430" s="410">
        <v>2.8</v>
      </c>
      <c r="G2430" s="410">
        <v>7.96</v>
      </c>
      <c r="H2430" s="398" t="s">
        <v>26</v>
      </c>
      <c r="I2430" s="399">
        <f t="shared" si="106"/>
        <v>-133.72999999999999</v>
      </c>
      <c r="J2430" s="396"/>
    </row>
    <row r="2431" spans="1:10" s="367" customFormat="1" ht="22.5" customHeight="1">
      <c r="A2431" s="395"/>
      <c r="B2431" s="396" t="s">
        <v>1506</v>
      </c>
      <c r="C2431" s="397"/>
      <c r="D2431" s="397"/>
      <c r="E2431" s="397"/>
      <c r="F2431" s="410"/>
      <c r="G2431" s="410"/>
      <c r="H2431" s="398"/>
      <c r="I2431" s="399"/>
      <c r="J2431" s="396"/>
    </row>
    <row r="2432" spans="1:10" s="367" customFormat="1" ht="22.5" customHeight="1">
      <c r="A2432" s="395"/>
      <c r="B2432" s="401" t="s">
        <v>1507</v>
      </c>
      <c r="C2432" s="397">
        <v>3</v>
      </c>
      <c r="D2432" s="397">
        <v>1</v>
      </c>
      <c r="E2432" s="397">
        <v>2</v>
      </c>
      <c r="F2432" s="410">
        <v>2.7</v>
      </c>
      <c r="G2432" s="410">
        <v>1.35</v>
      </c>
      <c r="H2432" s="398" t="s">
        <v>26</v>
      </c>
      <c r="I2432" s="399">
        <f t="shared" ref="I2432:I2438" si="107">PRODUCT(C2432:H2432)</f>
        <v>21.87</v>
      </c>
      <c r="J2432" s="396"/>
    </row>
    <row r="2433" spans="1:10" s="367" customFormat="1" ht="22.5" customHeight="1">
      <c r="A2433" s="395"/>
      <c r="B2433" s="401" t="s">
        <v>1508</v>
      </c>
      <c r="C2433" s="397">
        <v>3</v>
      </c>
      <c r="D2433" s="397">
        <v>1</v>
      </c>
      <c r="E2433" s="397">
        <v>2</v>
      </c>
      <c r="F2433" s="410">
        <v>3.31</v>
      </c>
      <c r="G2433" s="410">
        <v>1.73</v>
      </c>
      <c r="H2433" s="398" t="s">
        <v>26</v>
      </c>
      <c r="I2433" s="399">
        <f t="shared" si="107"/>
        <v>34.36</v>
      </c>
      <c r="J2433" s="396"/>
    </row>
    <row r="2434" spans="1:10" s="367" customFormat="1" ht="22.5" customHeight="1">
      <c r="A2434" s="395"/>
      <c r="B2434" s="401" t="s">
        <v>1509</v>
      </c>
      <c r="C2434" s="397">
        <v>3</v>
      </c>
      <c r="D2434" s="397">
        <v>1</v>
      </c>
      <c r="E2434" s="397">
        <v>2</v>
      </c>
      <c r="F2434" s="410">
        <v>3</v>
      </c>
      <c r="G2434" s="410">
        <v>1.35</v>
      </c>
      <c r="H2434" s="398" t="s">
        <v>26</v>
      </c>
      <c r="I2434" s="399">
        <f t="shared" si="107"/>
        <v>24.3</v>
      </c>
      <c r="J2434" s="396"/>
    </row>
    <row r="2435" spans="1:10" s="367" customFormat="1" ht="22.5" customHeight="1">
      <c r="A2435" s="395"/>
      <c r="B2435" s="401" t="s">
        <v>1510</v>
      </c>
      <c r="C2435" s="397">
        <v>3</v>
      </c>
      <c r="D2435" s="397">
        <v>1</v>
      </c>
      <c r="E2435" s="397">
        <v>2</v>
      </c>
      <c r="F2435" s="410">
        <v>6.77</v>
      </c>
      <c r="G2435" s="410" t="s">
        <v>26</v>
      </c>
      <c r="H2435" s="398">
        <v>0.3</v>
      </c>
      <c r="I2435" s="399">
        <f t="shared" si="107"/>
        <v>12.19</v>
      </c>
      <c r="J2435" s="396"/>
    </row>
    <row r="2436" spans="1:10" s="367" customFormat="1" ht="22.5" customHeight="1">
      <c r="A2436" s="395"/>
      <c r="B2436" s="401" t="s">
        <v>1511</v>
      </c>
      <c r="C2436" s="397">
        <v>3</v>
      </c>
      <c r="D2436" s="397">
        <v>1</v>
      </c>
      <c r="E2436" s="397">
        <v>2</v>
      </c>
      <c r="F2436" s="410">
        <v>5.85</v>
      </c>
      <c r="G2436" s="410" t="s">
        <v>26</v>
      </c>
      <c r="H2436" s="398">
        <v>0.15</v>
      </c>
      <c r="I2436" s="399">
        <f t="shared" si="107"/>
        <v>5.27</v>
      </c>
      <c r="J2436" s="396"/>
    </row>
    <row r="2437" spans="1:10" s="367" customFormat="1" ht="22.5" customHeight="1">
      <c r="A2437" s="395"/>
      <c r="B2437" s="401" t="s">
        <v>528</v>
      </c>
      <c r="C2437" s="397">
        <v>3</v>
      </c>
      <c r="D2437" s="397">
        <v>1</v>
      </c>
      <c r="E2437" s="397">
        <v>18</v>
      </c>
      <c r="F2437" s="410">
        <v>1.35</v>
      </c>
      <c r="G2437" s="410" t="s">
        <v>26</v>
      </c>
      <c r="H2437" s="398">
        <v>0.15</v>
      </c>
      <c r="I2437" s="399">
        <f t="shared" si="107"/>
        <v>10.94</v>
      </c>
      <c r="J2437" s="396"/>
    </row>
    <row r="2438" spans="1:10" s="367" customFormat="1" ht="22.5" customHeight="1">
      <c r="A2438" s="395"/>
      <c r="B2438" s="401" t="s">
        <v>528</v>
      </c>
      <c r="C2438" s="397">
        <v>3</v>
      </c>
      <c r="D2438" s="397">
        <v>2</v>
      </c>
      <c r="E2438" s="397">
        <v>18</v>
      </c>
      <c r="F2438" s="410">
        <v>0.5</v>
      </c>
      <c r="G2438" s="410">
        <v>0.3</v>
      </c>
      <c r="H2438" s="398">
        <v>0.15</v>
      </c>
      <c r="I2438" s="399">
        <f t="shared" si="107"/>
        <v>2.4300000000000002</v>
      </c>
      <c r="J2438" s="396"/>
    </row>
    <row r="2439" spans="1:10" s="367" customFormat="1" ht="22.5" customHeight="1">
      <c r="A2439" s="395"/>
      <c r="B2439" s="396" t="s">
        <v>944</v>
      </c>
      <c r="C2439" s="397"/>
      <c r="D2439" s="397"/>
      <c r="E2439" s="397"/>
      <c r="F2439" s="410"/>
      <c r="G2439" s="410"/>
      <c r="H2439" s="398"/>
      <c r="I2439" s="399"/>
      <c r="J2439" s="396"/>
    </row>
    <row r="2440" spans="1:10" s="367" customFormat="1" ht="22.5" customHeight="1">
      <c r="A2440" s="395"/>
      <c r="B2440" s="401" t="s">
        <v>303</v>
      </c>
      <c r="C2440" s="397">
        <v>-3</v>
      </c>
      <c r="D2440" s="397">
        <v>2</v>
      </c>
      <c r="E2440" s="397">
        <v>2</v>
      </c>
      <c r="F2440" s="410">
        <v>0.45</v>
      </c>
      <c r="G2440" s="410">
        <v>0.23</v>
      </c>
      <c r="H2440" s="398" t="s">
        <v>26</v>
      </c>
      <c r="I2440" s="399">
        <f>PRODUCT(C2440:H2440)</f>
        <v>-1.24</v>
      </c>
      <c r="J2440" s="396"/>
    </row>
    <row r="2441" spans="1:10" s="367" customFormat="1" ht="22.5" customHeight="1">
      <c r="A2441" s="395"/>
      <c r="B2441" s="396" t="s">
        <v>1512</v>
      </c>
      <c r="C2441" s="397"/>
      <c r="D2441" s="397"/>
      <c r="E2441" s="397"/>
      <c r="F2441" s="410"/>
      <c r="G2441" s="410"/>
      <c r="H2441" s="398"/>
      <c r="I2441" s="399"/>
      <c r="J2441" s="396"/>
    </row>
    <row r="2442" spans="1:10" s="367" customFormat="1" ht="22.5" customHeight="1">
      <c r="A2442" s="395"/>
      <c r="B2442" s="401" t="s">
        <v>1507</v>
      </c>
      <c r="C2442" s="397">
        <v>3</v>
      </c>
      <c r="D2442" s="397">
        <v>1</v>
      </c>
      <c r="E2442" s="397">
        <v>1</v>
      </c>
      <c r="F2442" s="410">
        <v>3</v>
      </c>
      <c r="G2442" s="410">
        <v>1.5</v>
      </c>
      <c r="H2442" s="398" t="s">
        <v>26</v>
      </c>
      <c r="I2442" s="399">
        <f t="shared" ref="I2442:I2448" si="108">PRODUCT(C2442:H2442)</f>
        <v>13.5</v>
      </c>
      <c r="J2442" s="396"/>
    </row>
    <row r="2443" spans="1:10" s="367" customFormat="1" ht="22.5" customHeight="1">
      <c r="A2443" s="395"/>
      <c r="B2443" s="401" t="s">
        <v>1508</v>
      </c>
      <c r="C2443" s="397">
        <v>3</v>
      </c>
      <c r="D2443" s="397">
        <v>1</v>
      </c>
      <c r="E2443" s="397">
        <v>1</v>
      </c>
      <c r="F2443" s="410">
        <v>3.99</v>
      </c>
      <c r="G2443" s="410">
        <v>1.73</v>
      </c>
      <c r="H2443" s="398" t="s">
        <v>26</v>
      </c>
      <c r="I2443" s="399">
        <f t="shared" si="108"/>
        <v>20.71</v>
      </c>
      <c r="J2443" s="396"/>
    </row>
    <row r="2444" spans="1:10" s="367" customFormat="1" ht="22.5" customHeight="1">
      <c r="A2444" s="395"/>
      <c r="B2444" s="401" t="s">
        <v>1509</v>
      </c>
      <c r="C2444" s="397">
        <v>3</v>
      </c>
      <c r="D2444" s="397">
        <v>1</v>
      </c>
      <c r="E2444" s="397">
        <v>1</v>
      </c>
      <c r="F2444" s="410">
        <v>2.7</v>
      </c>
      <c r="G2444" s="410">
        <v>1.35</v>
      </c>
      <c r="H2444" s="398" t="s">
        <v>26</v>
      </c>
      <c r="I2444" s="399">
        <f t="shared" si="108"/>
        <v>10.94</v>
      </c>
      <c r="J2444" s="396"/>
    </row>
    <row r="2445" spans="1:10" s="367" customFormat="1" ht="22.5" customHeight="1">
      <c r="A2445" s="395"/>
      <c r="B2445" s="401" t="s">
        <v>1510</v>
      </c>
      <c r="C2445" s="397">
        <v>3</v>
      </c>
      <c r="D2445" s="397">
        <v>1</v>
      </c>
      <c r="E2445" s="397">
        <v>1</v>
      </c>
      <c r="F2445" s="410">
        <v>7.45</v>
      </c>
      <c r="G2445" s="410" t="s">
        <v>26</v>
      </c>
      <c r="H2445" s="398">
        <v>0.3</v>
      </c>
      <c r="I2445" s="399">
        <f t="shared" si="108"/>
        <v>6.71</v>
      </c>
      <c r="J2445" s="396"/>
    </row>
    <row r="2446" spans="1:10" s="367" customFormat="1" ht="22.5" customHeight="1">
      <c r="A2446" s="395"/>
      <c r="B2446" s="401" t="s">
        <v>1511</v>
      </c>
      <c r="C2446" s="397">
        <v>3</v>
      </c>
      <c r="D2446" s="397">
        <v>1</v>
      </c>
      <c r="E2446" s="397">
        <v>1</v>
      </c>
      <c r="F2446" s="410">
        <v>6.53</v>
      </c>
      <c r="G2446" s="410" t="s">
        <v>26</v>
      </c>
      <c r="H2446" s="398">
        <v>0.15</v>
      </c>
      <c r="I2446" s="399">
        <f t="shared" si="108"/>
        <v>2.94</v>
      </c>
      <c r="J2446" s="396"/>
    </row>
    <row r="2447" spans="1:10" s="367" customFormat="1" ht="22.5" customHeight="1">
      <c r="A2447" s="395"/>
      <c r="B2447" s="401" t="s">
        <v>528</v>
      </c>
      <c r="C2447" s="397">
        <v>3</v>
      </c>
      <c r="D2447" s="397">
        <v>1</v>
      </c>
      <c r="E2447" s="397">
        <v>18</v>
      </c>
      <c r="F2447" s="410">
        <v>1.5</v>
      </c>
      <c r="G2447" s="410" t="s">
        <v>26</v>
      </c>
      <c r="H2447" s="398">
        <v>0.15</v>
      </c>
      <c r="I2447" s="399">
        <f t="shared" si="108"/>
        <v>12.15</v>
      </c>
      <c r="J2447" s="396"/>
    </row>
    <row r="2448" spans="1:10" s="367" customFormat="1" ht="22.5" customHeight="1">
      <c r="A2448" s="395"/>
      <c r="B2448" s="401" t="s">
        <v>528</v>
      </c>
      <c r="C2448" s="397">
        <v>3</v>
      </c>
      <c r="D2448" s="397">
        <v>2</v>
      </c>
      <c r="E2448" s="397">
        <v>18</v>
      </c>
      <c r="F2448" s="410">
        <v>0.5</v>
      </c>
      <c r="G2448" s="410">
        <v>0.3</v>
      </c>
      <c r="H2448" s="398">
        <v>0.15</v>
      </c>
      <c r="I2448" s="399">
        <f t="shared" si="108"/>
        <v>2.4300000000000002</v>
      </c>
      <c r="J2448" s="396"/>
    </row>
    <row r="2449" spans="1:10" s="367" customFormat="1" ht="22.5" customHeight="1">
      <c r="A2449" s="395"/>
      <c r="B2449" s="396" t="s">
        <v>944</v>
      </c>
      <c r="C2449" s="397"/>
      <c r="D2449" s="397"/>
      <c r="E2449" s="397"/>
      <c r="F2449" s="410"/>
      <c r="G2449" s="410"/>
      <c r="H2449" s="398"/>
      <c r="I2449" s="399"/>
      <c r="J2449" s="396"/>
    </row>
    <row r="2450" spans="1:10" s="367" customFormat="1" ht="22.5" customHeight="1">
      <c r="A2450" s="395"/>
      <c r="B2450" s="401" t="s">
        <v>303</v>
      </c>
      <c r="C2450" s="397">
        <v>-3</v>
      </c>
      <c r="D2450" s="397">
        <v>2</v>
      </c>
      <c r="E2450" s="397">
        <v>2</v>
      </c>
      <c r="F2450" s="410">
        <v>0.45</v>
      </c>
      <c r="G2450" s="410">
        <v>0.23</v>
      </c>
      <c r="H2450" s="398" t="s">
        <v>26</v>
      </c>
      <c r="I2450" s="399">
        <f>PRODUCT(C2450:H2450)</f>
        <v>-1.24</v>
      </c>
      <c r="J2450" s="396"/>
    </row>
    <row r="2451" spans="1:10" s="367" customFormat="1" ht="22.5" customHeight="1">
      <c r="A2451" s="395"/>
      <c r="B2451" s="396" t="s">
        <v>1513</v>
      </c>
      <c r="C2451" s="397"/>
      <c r="D2451" s="397"/>
      <c r="E2451" s="397"/>
      <c r="F2451" s="410"/>
      <c r="G2451" s="410"/>
      <c r="H2451" s="410"/>
      <c r="I2451" s="399"/>
      <c r="J2451" s="396"/>
    </row>
    <row r="2452" spans="1:10" s="367" customFormat="1" ht="22.5" customHeight="1">
      <c r="A2452" s="410"/>
      <c r="B2452" s="401" t="s">
        <v>1449</v>
      </c>
      <c r="C2452" s="397">
        <v>3</v>
      </c>
      <c r="D2452" s="397">
        <v>2</v>
      </c>
      <c r="E2452" s="397">
        <v>10</v>
      </c>
      <c r="F2452" s="410">
        <v>1.96</v>
      </c>
      <c r="G2452" s="410" t="s">
        <v>26</v>
      </c>
      <c r="H2452" s="410">
        <v>0.05</v>
      </c>
      <c r="I2452" s="399">
        <f t="shared" ref="I2452:I2466" si="109">PRODUCT(C2452:H2452)</f>
        <v>5.88</v>
      </c>
      <c r="J2452" s="401"/>
    </row>
    <row r="2453" spans="1:10" s="367" customFormat="1" ht="22.5" customHeight="1">
      <c r="A2453" s="410"/>
      <c r="B2453" s="401" t="s">
        <v>1450</v>
      </c>
      <c r="C2453" s="397">
        <v>3</v>
      </c>
      <c r="D2453" s="397">
        <v>2</v>
      </c>
      <c r="E2453" s="397">
        <v>10</v>
      </c>
      <c r="F2453" s="410">
        <v>1.56</v>
      </c>
      <c r="G2453" s="410" t="s">
        <v>26</v>
      </c>
      <c r="H2453" s="410">
        <v>0.05</v>
      </c>
      <c r="I2453" s="399">
        <f t="shared" si="109"/>
        <v>4.68</v>
      </c>
      <c r="J2453" s="401"/>
    </row>
    <row r="2454" spans="1:10" s="367" customFormat="1" ht="22.5" customHeight="1">
      <c r="A2454" s="410"/>
      <c r="B2454" s="401" t="s">
        <v>1440</v>
      </c>
      <c r="C2454" s="397">
        <v>3</v>
      </c>
      <c r="D2454" s="397">
        <v>2</v>
      </c>
      <c r="E2454" s="397">
        <v>10</v>
      </c>
      <c r="F2454" s="410">
        <v>2.2599999999999998</v>
      </c>
      <c r="G2454" s="410" t="s">
        <v>26</v>
      </c>
      <c r="H2454" s="410">
        <v>0.05</v>
      </c>
      <c r="I2454" s="399">
        <f t="shared" si="109"/>
        <v>6.78</v>
      </c>
      <c r="J2454" s="401"/>
    </row>
    <row r="2455" spans="1:10" s="367" customFormat="1" ht="22.5" customHeight="1">
      <c r="A2455" s="395"/>
      <c r="B2455" s="401" t="s">
        <v>1436</v>
      </c>
      <c r="C2455" s="397">
        <v>3</v>
      </c>
      <c r="D2455" s="397">
        <v>2</v>
      </c>
      <c r="E2455" s="397">
        <v>10</v>
      </c>
      <c r="F2455" s="410">
        <v>1.96</v>
      </c>
      <c r="G2455" s="410" t="s">
        <v>26</v>
      </c>
      <c r="H2455" s="410">
        <v>0.05</v>
      </c>
      <c r="I2455" s="399">
        <f t="shared" si="109"/>
        <v>5.88</v>
      </c>
      <c r="J2455" s="396"/>
    </row>
    <row r="2456" spans="1:10" s="367" customFormat="1" ht="22.5" customHeight="1">
      <c r="A2456" s="395"/>
      <c r="B2456" s="401" t="s">
        <v>1441</v>
      </c>
      <c r="C2456" s="397">
        <v>3</v>
      </c>
      <c r="D2456" s="397">
        <v>2</v>
      </c>
      <c r="E2456" s="397">
        <v>2</v>
      </c>
      <c r="F2456" s="410">
        <v>2.2599999999999998</v>
      </c>
      <c r="G2456" s="410" t="s">
        <v>26</v>
      </c>
      <c r="H2456" s="410">
        <v>0.05</v>
      </c>
      <c r="I2456" s="399">
        <f t="shared" si="109"/>
        <v>1.36</v>
      </c>
      <c r="J2456" s="396"/>
    </row>
    <row r="2457" spans="1:10" s="367" customFormat="1" ht="22.5" customHeight="1">
      <c r="A2457" s="395"/>
      <c r="B2457" s="401" t="s">
        <v>1437</v>
      </c>
      <c r="C2457" s="397">
        <v>3</v>
      </c>
      <c r="D2457" s="397">
        <v>2</v>
      </c>
      <c r="E2457" s="397">
        <v>4</v>
      </c>
      <c r="F2457" s="410">
        <v>1.66</v>
      </c>
      <c r="G2457" s="410" t="s">
        <v>26</v>
      </c>
      <c r="H2457" s="410">
        <v>0.05</v>
      </c>
      <c r="I2457" s="399">
        <f t="shared" si="109"/>
        <v>1.99</v>
      </c>
      <c r="J2457" s="396"/>
    </row>
    <row r="2458" spans="1:10" s="367" customFormat="1" ht="22.5" customHeight="1">
      <c r="A2458" s="395"/>
      <c r="B2458" s="401" t="s">
        <v>1453</v>
      </c>
      <c r="C2458" s="397">
        <v>3</v>
      </c>
      <c r="D2458" s="397">
        <v>2</v>
      </c>
      <c r="E2458" s="397">
        <v>10</v>
      </c>
      <c r="F2458" s="410">
        <v>2.06</v>
      </c>
      <c r="G2458" s="410" t="s">
        <v>26</v>
      </c>
      <c r="H2458" s="410">
        <v>0.05</v>
      </c>
      <c r="I2458" s="399">
        <f t="shared" si="109"/>
        <v>6.18</v>
      </c>
      <c r="J2458" s="396"/>
    </row>
    <row r="2459" spans="1:10" s="367" customFormat="1" ht="22.5" customHeight="1">
      <c r="A2459" s="395"/>
      <c r="B2459" s="401" t="s">
        <v>1452</v>
      </c>
      <c r="C2459" s="397">
        <v>3</v>
      </c>
      <c r="D2459" s="397">
        <v>2</v>
      </c>
      <c r="E2459" s="397">
        <v>10</v>
      </c>
      <c r="F2459" s="410">
        <v>2.36</v>
      </c>
      <c r="G2459" s="410" t="s">
        <v>26</v>
      </c>
      <c r="H2459" s="410">
        <v>0.05</v>
      </c>
      <c r="I2459" s="399">
        <f t="shared" si="109"/>
        <v>7.08</v>
      </c>
      <c r="J2459" s="396"/>
    </row>
    <row r="2460" spans="1:10" s="367" customFormat="1" ht="22.5" customHeight="1">
      <c r="A2460" s="395"/>
      <c r="B2460" s="401" t="s">
        <v>1525</v>
      </c>
      <c r="C2460" s="397">
        <v>3</v>
      </c>
      <c r="D2460" s="397">
        <v>2</v>
      </c>
      <c r="E2460" s="397">
        <v>6</v>
      </c>
      <c r="F2460" s="410">
        <v>2.86</v>
      </c>
      <c r="G2460" s="410" t="s">
        <v>26</v>
      </c>
      <c r="H2460" s="410">
        <v>0.05</v>
      </c>
      <c r="I2460" s="399">
        <f t="shared" si="109"/>
        <v>5.15</v>
      </c>
      <c r="J2460" s="396"/>
    </row>
    <row r="2461" spans="1:10" s="367" customFormat="1" ht="22.5" customHeight="1">
      <c r="A2461" s="395"/>
      <c r="B2461" s="401" t="s">
        <v>1525</v>
      </c>
      <c r="C2461" s="397">
        <v>3</v>
      </c>
      <c r="D2461" s="397">
        <v>2</v>
      </c>
      <c r="E2461" s="397">
        <v>2</v>
      </c>
      <c r="F2461" s="410">
        <v>2.2599999999999998</v>
      </c>
      <c r="G2461" s="410" t="s">
        <v>26</v>
      </c>
      <c r="H2461" s="410">
        <v>0.05</v>
      </c>
      <c r="I2461" s="399">
        <f t="shared" si="109"/>
        <v>1.36</v>
      </c>
      <c r="J2461" s="396"/>
    </row>
    <row r="2462" spans="1:10" s="367" customFormat="1" ht="22.5" customHeight="1">
      <c r="A2462" s="395"/>
      <c r="B2462" s="401" t="s">
        <v>1525</v>
      </c>
      <c r="C2462" s="397">
        <v>3</v>
      </c>
      <c r="D2462" s="397">
        <v>2</v>
      </c>
      <c r="E2462" s="397">
        <v>2</v>
      </c>
      <c r="F2462" s="410">
        <v>1.36</v>
      </c>
      <c r="G2462" s="410" t="s">
        <v>26</v>
      </c>
      <c r="H2462" s="410">
        <v>0.05</v>
      </c>
      <c r="I2462" s="399">
        <f t="shared" si="109"/>
        <v>0.82</v>
      </c>
      <c r="J2462" s="396"/>
    </row>
    <row r="2463" spans="1:10" s="367" customFormat="1" ht="22.5" customHeight="1">
      <c r="A2463" s="395"/>
      <c r="B2463" s="401" t="s">
        <v>1525</v>
      </c>
      <c r="C2463" s="397">
        <v>3</v>
      </c>
      <c r="D2463" s="397">
        <v>2</v>
      </c>
      <c r="E2463" s="397">
        <v>2</v>
      </c>
      <c r="F2463" s="410">
        <v>1.21</v>
      </c>
      <c r="G2463" s="410" t="s">
        <v>26</v>
      </c>
      <c r="H2463" s="410">
        <v>0.05</v>
      </c>
      <c r="I2463" s="399">
        <f t="shared" si="109"/>
        <v>0.73</v>
      </c>
      <c r="J2463" s="396"/>
    </row>
    <row r="2464" spans="1:10" s="367" customFormat="1" ht="22.5" customHeight="1">
      <c r="A2464" s="395"/>
      <c r="B2464" s="401" t="s">
        <v>1410</v>
      </c>
      <c r="C2464" s="397">
        <v>3</v>
      </c>
      <c r="D2464" s="397">
        <v>2</v>
      </c>
      <c r="E2464" s="397">
        <v>2</v>
      </c>
      <c r="F2464" s="410">
        <v>1.66</v>
      </c>
      <c r="G2464" s="410" t="s">
        <v>26</v>
      </c>
      <c r="H2464" s="410">
        <v>0.05</v>
      </c>
      <c r="I2464" s="399">
        <f t="shared" si="109"/>
        <v>1</v>
      </c>
      <c r="J2464" s="396"/>
    </row>
    <row r="2465" spans="1:10" s="367" customFormat="1" ht="22.5" customHeight="1">
      <c r="A2465" s="395"/>
      <c r="B2465" s="401" t="s">
        <v>1459</v>
      </c>
      <c r="C2465" s="397">
        <v>3</v>
      </c>
      <c r="D2465" s="397">
        <v>2</v>
      </c>
      <c r="E2465" s="397">
        <v>1</v>
      </c>
      <c r="F2465" s="410">
        <v>2.86</v>
      </c>
      <c r="G2465" s="410" t="s">
        <v>26</v>
      </c>
      <c r="H2465" s="410">
        <v>0.05</v>
      </c>
      <c r="I2465" s="399">
        <f t="shared" si="109"/>
        <v>0.86</v>
      </c>
      <c r="J2465" s="396"/>
    </row>
    <row r="2466" spans="1:10" s="367" customFormat="1" ht="22.5" customHeight="1">
      <c r="A2466" s="395"/>
      <c r="B2466" s="401" t="s">
        <v>1459</v>
      </c>
      <c r="C2466" s="397">
        <v>3</v>
      </c>
      <c r="D2466" s="397">
        <v>2</v>
      </c>
      <c r="E2466" s="397">
        <v>1</v>
      </c>
      <c r="F2466" s="410">
        <v>3.46</v>
      </c>
      <c r="G2466" s="410" t="s">
        <v>26</v>
      </c>
      <c r="H2466" s="410">
        <v>0.05</v>
      </c>
      <c r="I2466" s="399">
        <f t="shared" si="109"/>
        <v>1.04</v>
      </c>
      <c r="J2466" s="396"/>
    </row>
    <row r="2467" spans="1:10" s="367" customFormat="1" ht="22.5" customHeight="1">
      <c r="A2467" s="395"/>
      <c r="B2467" s="396" t="s">
        <v>1515</v>
      </c>
      <c r="C2467" s="397"/>
      <c r="D2467" s="397"/>
      <c r="E2467" s="397"/>
      <c r="F2467" s="410"/>
      <c r="G2467" s="410"/>
      <c r="H2467" s="410"/>
      <c r="I2467" s="399"/>
      <c r="J2467" s="396"/>
    </row>
    <row r="2468" spans="1:10" s="367" customFormat="1" ht="22.5" customHeight="1">
      <c r="A2468" s="395"/>
      <c r="B2468" s="401" t="s">
        <v>1448</v>
      </c>
      <c r="C2468" s="397">
        <v>3</v>
      </c>
      <c r="D2468" s="397">
        <v>1</v>
      </c>
      <c r="E2468" s="397">
        <v>10</v>
      </c>
      <c r="F2468" s="410">
        <v>1</v>
      </c>
      <c r="G2468" s="410">
        <v>0.23</v>
      </c>
      <c r="H2468" s="410" t="s">
        <v>26</v>
      </c>
      <c r="I2468" s="399">
        <f t="shared" ref="I2468:I2483" si="110">PRODUCT(C2468:H2468)</f>
        <v>6.9</v>
      </c>
      <c r="J2468" s="396"/>
    </row>
    <row r="2469" spans="1:10" s="367" customFormat="1" ht="22.5" customHeight="1">
      <c r="A2469" s="395"/>
      <c r="B2469" s="401" t="s">
        <v>1442</v>
      </c>
      <c r="C2469" s="397">
        <v>3</v>
      </c>
      <c r="D2469" s="397">
        <v>2</v>
      </c>
      <c r="E2469" s="397">
        <v>5</v>
      </c>
      <c r="F2469" s="410">
        <v>1</v>
      </c>
      <c r="G2469" s="410">
        <v>0.23</v>
      </c>
      <c r="H2469" s="410" t="s">
        <v>26</v>
      </c>
      <c r="I2469" s="399">
        <f t="shared" si="110"/>
        <v>6.9</v>
      </c>
      <c r="J2469" s="396"/>
    </row>
    <row r="2470" spans="1:10" s="367" customFormat="1" ht="22.5" customHeight="1">
      <c r="A2470" s="395"/>
      <c r="B2470" s="401" t="s">
        <v>1442</v>
      </c>
      <c r="C2470" s="397">
        <v>1</v>
      </c>
      <c r="D2470" s="397">
        <v>1</v>
      </c>
      <c r="E2470" s="397">
        <v>2</v>
      </c>
      <c r="F2470" s="410">
        <v>1</v>
      </c>
      <c r="G2470" s="410">
        <v>0.23</v>
      </c>
      <c r="H2470" s="410" t="s">
        <v>26</v>
      </c>
      <c r="I2470" s="399">
        <f t="shared" si="110"/>
        <v>0.46</v>
      </c>
      <c r="J2470" s="396"/>
    </row>
    <row r="2471" spans="1:10" s="367" customFormat="1" ht="22.5" customHeight="1">
      <c r="A2471" s="395"/>
      <c r="B2471" s="401" t="s">
        <v>1526</v>
      </c>
      <c r="C2471" s="397">
        <v>3</v>
      </c>
      <c r="D2471" s="397">
        <v>1</v>
      </c>
      <c r="E2471" s="397">
        <v>10</v>
      </c>
      <c r="F2471" s="410">
        <v>0.75</v>
      </c>
      <c r="G2471" s="410">
        <v>0.12</v>
      </c>
      <c r="H2471" s="410" t="s">
        <v>26</v>
      </c>
      <c r="I2471" s="399">
        <f t="shared" si="110"/>
        <v>2.7</v>
      </c>
      <c r="J2471" s="396"/>
    </row>
    <row r="2472" spans="1:10" s="367" customFormat="1" ht="22.5" customHeight="1">
      <c r="A2472" s="395"/>
      <c r="B2472" s="401" t="s">
        <v>1526</v>
      </c>
      <c r="C2472" s="397">
        <v>3</v>
      </c>
      <c r="D2472" s="397">
        <v>1</v>
      </c>
      <c r="E2472" s="397">
        <v>10</v>
      </c>
      <c r="F2472" s="410">
        <v>1.1000000000000001</v>
      </c>
      <c r="G2472" s="410">
        <v>0.12</v>
      </c>
      <c r="H2472" s="410" t="s">
        <v>26</v>
      </c>
      <c r="I2472" s="399">
        <f t="shared" si="110"/>
        <v>3.96</v>
      </c>
      <c r="J2472" s="396"/>
    </row>
    <row r="2473" spans="1:10" s="367" customFormat="1" ht="22.5" customHeight="1">
      <c r="A2473" s="395"/>
      <c r="B2473" s="401" t="s">
        <v>1518</v>
      </c>
      <c r="C2473" s="397">
        <v>3</v>
      </c>
      <c r="D2473" s="397">
        <v>1</v>
      </c>
      <c r="E2473" s="397">
        <v>20</v>
      </c>
      <c r="F2473" s="410">
        <v>0.75</v>
      </c>
      <c r="G2473" s="410">
        <v>0.12</v>
      </c>
      <c r="H2473" s="410" t="s">
        <v>26</v>
      </c>
      <c r="I2473" s="399">
        <f t="shared" si="110"/>
        <v>5.4</v>
      </c>
      <c r="J2473" s="396"/>
    </row>
    <row r="2474" spans="1:10" s="367" customFormat="1" ht="22.5" customHeight="1">
      <c r="A2474" s="395"/>
      <c r="B2474" s="401" t="s">
        <v>1443</v>
      </c>
      <c r="C2474" s="397">
        <v>3</v>
      </c>
      <c r="D2474" s="397">
        <v>1</v>
      </c>
      <c r="E2474" s="397">
        <v>3</v>
      </c>
      <c r="F2474" s="410">
        <v>0.9</v>
      </c>
      <c r="G2474" s="410">
        <v>0.23</v>
      </c>
      <c r="H2474" s="410" t="s">
        <v>26</v>
      </c>
      <c r="I2474" s="399">
        <f t="shared" si="110"/>
        <v>1.86</v>
      </c>
      <c r="J2474" s="396"/>
    </row>
    <row r="2475" spans="1:10" s="367" customFormat="1" ht="22.5" customHeight="1">
      <c r="A2475" s="395"/>
      <c r="B2475" s="401" t="s">
        <v>1520</v>
      </c>
      <c r="C2475" s="397">
        <v>3</v>
      </c>
      <c r="D2475" s="397">
        <v>1</v>
      </c>
      <c r="E2475" s="397">
        <v>2</v>
      </c>
      <c r="F2475" s="410">
        <v>1</v>
      </c>
      <c r="G2475" s="410">
        <v>0.23</v>
      </c>
      <c r="H2475" s="410" t="s">
        <v>26</v>
      </c>
      <c r="I2475" s="399">
        <f t="shared" si="110"/>
        <v>1.38</v>
      </c>
      <c r="J2475" s="396"/>
    </row>
    <row r="2476" spans="1:10" s="367" customFormat="1" ht="22.5" customHeight="1">
      <c r="A2476" s="395"/>
      <c r="B2476" s="401" t="s">
        <v>1521</v>
      </c>
      <c r="C2476" s="397">
        <v>3</v>
      </c>
      <c r="D2476" s="397">
        <v>1</v>
      </c>
      <c r="E2476" s="397">
        <v>1</v>
      </c>
      <c r="F2476" s="410">
        <v>1.2</v>
      </c>
      <c r="G2476" s="410">
        <v>0.23</v>
      </c>
      <c r="H2476" s="410" t="s">
        <v>26</v>
      </c>
      <c r="I2476" s="399">
        <f t="shared" si="110"/>
        <v>0.83</v>
      </c>
      <c r="J2476" s="396"/>
    </row>
    <row r="2477" spans="1:10" s="367" customFormat="1" ht="22.5" customHeight="1">
      <c r="A2477" s="395"/>
      <c r="B2477" s="401" t="s">
        <v>1456</v>
      </c>
      <c r="C2477" s="397">
        <v>3</v>
      </c>
      <c r="D2477" s="397">
        <v>1</v>
      </c>
      <c r="E2477" s="397">
        <v>2</v>
      </c>
      <c r="F2477" s="410">
        <v>0.9</v>
      </c>
      <c r="G2477" s="410">
        <v>0.12</v>
      </c>
      <c r="H2477" s="410" t="s">
        <v>26</v>
      </c>
      <c r="I2477" s="399">
        <f t="shared" si="110"/>
        <v>0.65</v>
      </c>
      <c r="J2477" s="396"/>
    </row>
    <row r="2478" spans="1:10" s="367" customFormat="1" ht="22.5" customHeight="1">
      <c r="A2478" s="395"/>
      <c r="B2478" s="401" t="s">
        <v>1457</v>
      </c>
      <c r="C2478" s="397">
        <v>3</v>
      </c>
      <c r="D2478" s="397">
        <v>1</v>
      </c>
      <c r="E2478" s="397">
        <v>12</v>
      </c>
      <c r="F2478" s="410">
        <v>0.75</v>
      </c>
      <c r="G2478" s="410">
        <v>0.12</v>
      </c>
      <c r="H2478" s="410" t="s">
        <v>26</v>
      </c>
      <c r="I2478" s="399">
        <f t="shared" si="110"/>
        <v>3.24</v>
      </c>
      <c r="J2478" s="396"/>
    </row>
    <row r="2479" spans="1:10" s="367" customFormat="1" ht="22.5" customHeight="1">
      <c r="A2479" s="395"/>
      <c r="B2479" s="401" t="s">
        <v>1527</v>
      </c>
      <c r="C2479" s="397">
        <v>3</v>
      </c>
      <c r="D2479" s="397">
        <v>1</v>
      </c>
      <c r="E2479" s="397">
        <v>1</v>
      </c>
      <c r="F2479" s="410">
        <v>0.9</v>
      </c>
      <c r="G2479" s="410">
        <v>0.23</v>
      </c>
      <c r="H2479" s="410" t="s">
        <v>26</v>
      </c>
      <c r="I2479" s="399">
        <f t="shared" si="110"/>
        <v>0.62</v>
      </c>
      <c r="J2479" s="396"/>
    </row>
    <row r="2480" spans="1:10" s="367" customFormat="1" ht="22.5" customHeight="1">
      <c r="A2480" s="395"/>
      <c r="B2480" s="401" t="s">
        <v>1452</v>
      </c>
      <c r="C2480" s="397">
        <v>3</v>
      </c>
      <c r="D2480" s="397">
        <v>1</v>
      </c>
      <c r="E2480" s="397">
        <v>1</v>
      </c>
      <c r="F2480" s="410">
        <v>1.6</v>
      </c>
      <c r="G2480" s="410">
        <v>0.23</v>
      </c>
      <c r="H2480" s="410" t="s">
        <v>26</v>
      </c>
      <c r="I2480" s="399">
        <f t="shared" si="110"/>
        <v>1.1000000000000001</v>
      </c>
      <c r="J2480" s="396"/>
    </row>
    <row r="2481" spans="1:10" s="367" customFormat="1" ht="22.5" customHeight="1">
      <c r="A2481" s="395"/>
      <c r="B2481" s="401" t="s">
        <v>1459</v>
      </c>
      <c r="C2481" s="397">
        <v>3</v>
      </c>
      <c r="D2481" s="397">
        <v>1</v>
      </c>
      <c r="E2481" s="397">
        <v>1</v>
      </c>
      <c r="F2481" s="410">
        <v>2.4</v>
      </c>
      <c r="G2481" s="410">
        <v>0.23</v>
      </c>
      <c r="H2481" s="410" t="s">
        <v>26</v>
      </c>
      <c r="I2481" s="399">
        <f t="shared" si="110"/>
        <v>1.66</v>
      </c>
      <c r="J2481" s="396"/>
    </row>
    <row r="2482" spans="1:10" s="367" customFormat="1" ht="22.5" customHeight="1">
      <c r="A2482" s="395"/>
      <c r="B2482" s="401" t="s">
        <v>1459</v>
      </c>
      <c r="C2482" s="397">
        <v>3</v>
      </c>
      <c r="D2482" s="397">
        <v>1</v>
      </c>
      <c r="E2482" s="397">
        <v>1</v>
      </c>
      <c r="F2482" s="410">
        <v>3</v>
      </c>
      <c r="G2482" s="410">
        <v>0.23</v>
      </c>
      <c r="H2482" s="410" t="s">
        <v>26</v>
      </c>
      <c r="I2482" s="399">
        <f t="shared" si="110"/>
        <v>2.0699999999999998</v>
      </c>
      <c r="J2482" s="396"/>
    </row>
    <row r="2483" spans="1:10" s="367" customFormat="1" ht="22.5" customHeight="1">
      <c r="A2483" s="395"/>
      <c r="B2483" s="401" t="s">
        <v>1454</v>
      </c>
      <c r="C2483" s="397">
        <v>3</v>
      </c>
      <c r="D2483" s="397">
        <v>1</v>
      </c>
      <c r="E2483" s="397">
        <v>2</v>
      </c>
      <c r="F2483" s="410">
        <v>0.45</v>
      </c>
      <c r="G2483" s="410">
        <v>0.12</v>
      </c>
      <c r="H2483" s="410" t="s">
        <v>26</v>
      </c>
      <c r="I2483" s="399">
        <f t="shared" si="110"/>
        <v>0.32</v>
      </c>
      <c r="J2483" s="396"/>
    </row>
    <row r="2484" spans="1:10" s="367" customFormat="1" ht="22.5" customHeight="1">
      <c r="A2484" s="395"/>
      <c r="B2484" s="396" t="s">
        <v>1523</v>
      </c>
      <c r="C2484" s="397"/>
      <c r="D2484" s="397"/>
      <c r="E2484" s="397"/>
      <c r="F2484" s="410"/>
      <c r="G2484" s="410"/>
      <c r="H2484" s="410"/>
      <c r="I2484" s="399"/>
      <c r="J2484" s="396"/>
    </row>
    <row r="2485" spans="1:10" s="367" customFormat="1" ht="22.5" customHeight="1">
      <c r="A2485" s="395"/>
      <c r="B2485" s="401" t="s">
        <v>1448</v>
      </c>
      <c r="C2485" s="397">
        <v>3</v>
      </c>
      <c r="D2485" s="397">
        <v>2</v>
      </c>
      <c r="E2485" s="397">
        <v>10</v>
      </c>
      <c r="F2485" s="410">
        <v>1.46</v>
      </c>
      <c r="G2485" s="410" t="s">
        <v>26</v>
      </c>
      <c r="H2485" s="410">
        <v>0.15</v>
      </c>
      <c r="I2485" s="399">
        <f t="shared" ref="I2485:I2500" si="111">PRODUCT(C2485:H2485)</f>
        <v>13.14</v>
      </c>
      <c r="J2485" s="396"/>
    </row>
    <row r="2486" spans="1:10" s="367" customFormat="1" ht="22.5" customHeight="1">
      <c r="A2486" s="395"/>
      <c r="B2486" s="401" t="s">
        <v>1442</v>
      </c>
      <c r="C2486" s="397">
        <v>3</v>
      </c>
      <c r="D2486" s="397">
        <v>2</v>
      </c>
      <c r="E2486" s="397">
        <v>5</v>
      </c>
      <c r="F2486" s="410">
        <v>2.69</v>
      </c>
      <c r="G2486" s="410" t="s">
        <v>26</v>
      </c>
      <c r="H2486" s="410">
        <v>0.15</v>
      </c>
      <c r="I2486" s="399">
        <f t="shared" si="111"/>
        <v>12.11</v>
      </c>
      <c r="J2486" s="396"/>
    </row>
    <row r="2487" spans="1:10" s="367" customFormat="1" ht="22.5" customHeight="1">
      <c r="A2487" s="395"/>
      <c r="B2487" s="401" t="s">
        <v>1526</v>
      </c>
      <c r="C2487" s="397">
        <v>3</v>
      </c>
      <c r="D2487" s="397">
        <v>2</v>
      </c>
      <c r="E2487" s="397">
        <v>10</v>
      </c>
      <c r="F2487" s="410">
        <v>2.4</v>
      </c>
      <c r="G2487" s="410" t="s">
        <v>26</v>
      </c>
      <c r="H2487" s="410">
        <v>0.15</v>
      </c>
      <c r="I2487" s="399">
        <f t="shared" si="111"/>
        <v>21.6</v>
      </c>
      <c r="J2487" s="396"/>
    </row>
    <row r="2488" spans="1:10" s="367" customFormat="1" ht="22.5" customHeight="1">
      <c r="A2488" s="395"/>
      <c r="B2488" s="401" t="s">
        <v>1518</v>
      </c>
      <c r="C2488" s="397">
        <v>3</v>
      </c>
      <c r="D2488" s="397">
        <v>2</v>
      </c>
      <c r="E2488" s="397">
        <v>20</v>
      </c>
      <c r="F2488" s="410">
        <v>1.21</v>
      </c>
      <c r="G2488" s="410" t="s">
        <v>26</v>
      </c>
      <c r="H2488" s="410">
        <v>0.15</v>
      </c>
      <c r="I2488" s="399">
        <f t="shared" si="111"/>
        <v>21.78</v>
      </c>
      <c r="J2488" s="396"/>
    </row>
    <row r="2489" spans="1:10" s="367" customFormat="1" ht="22.5" customHeight="1">
      <c r="A2489" s="395"/>
      <c r="B2489" s="401" t="s">
        <v>1520</v>
      </c>
      <c r="C2489" s="397">
        <v>3</v>
      </c>
      <c r="D2489" s="397">
        <v>2</v>
      </c>
      <c r="E2489" s="397">
        <v>2</v>
      </c>
      <c r="F2489" s="410">
        <v>1.46</v>
      </c>
      <c r="G2489" s="410" t="s">
        <v>26</v>
      </c>
      <c r="H2489" s="410">
        <v>0.15</v>
      </c>
      <c r="I2489" s="399">
        <f t="shared" si="111"/>
        <v>2.63</v>
      </c>
      <c r="J2489" s="396"/>
    </row>
    <row r="2490" spans="1:10" s="367" customFormat="1" ht="22.5" customHeight="1">
      <c r="A2490" s="395"/>
      <c r="B2490" s="401" t="s">
        <v>1521</v>
      </c>
      <c r="C2490" s="397">
        <v>3</v>
      </c>
      <c r="D2490" s="397">
        <v>2</v>
      </c>
      <c r="E2490" s="397">
        <v>1</v>
      </c>
      <c r="F2490" s="410">
        <v>1.66</v>
      </c>
      <c r="G2490" s="410" t="s">
        <v>26</v>
      </c>
      <c r="H2490" s="410">
        <v>0.15</v>
      </c>
      <c r="I2490" s="399">
        <f t="shared" si="111"/>
        <v>1.49</v>
      </c>
      <c r="J2490" s="396"/>
    </row>
    <row r="2491" spans="1:10" s="367" customFormat="1" ht="22.5" customHeight="1">
      <c r="A2491" s="395"/>
      <c r="B2491" s="401" t="s">
        <v>1456</v>
      </c>
      <c r="C2491" s="397">
        <v>3</v>
      </c>
      <c r="D2491" s="397">
        <v>2</v>
      </c>
      <c r="E2491" s="397">
        <v>2</v>
      </c>
      <c r="F2491" s="410">
        <v>1.36</v>
      </c>
      <c r="G2491" s="410" t="s">
        <v>26</v>
      </c>
      <c r="H2491" s="410">
        <v>0.15</v>
      </c>
      <c r="I2491" s="399">
        <f t="shared" si="111"/>
        <v>2.4500000000000002</v>
      </c>
      <c r="J2491" s="396"/>
    </row>
    <row r="2492" spans="1:10" s="367" customFormat="1" ht="22.5" customHeight="1">
      <c r="A2492" s="395"/>
      <c r="B2492" s="401" t="s">
        <v>1457</v>
      </c>
      <c r="C2492" s="397">
        <v>3</v>
      </c>
      <c r="D2492" s="397">
        <v>2</v>
      </c>
      <c r="E2492" s="397">
        <v>12</v>
      </c>
      <c r="F2492" s="410">
        <v>1.21</v>
      </c>
      <c r="G2492" s="410" t="s">
        <v>26</v>
      </c>
      <c r="H2492" s="410">
        <v>0.15</v>
      </c>
      <c r="I2492" s="399">
        <f t="shared" si="111"/>
        <v>13.07</v>
      </c>
      <c r="J2492" s="396"/>
    </row>
    <row r="2493" spans="1:10" s="367" customFormat="1" ht="22.5" customHeight="1">
      <c r="A2493" s="395"/>
      <c r="B2493" s="401" t="s">
        <v>1459</v>
      </c>
      <c r="C2493" s="397">
        <v>3</v>
      </c>
      <c r="D2493" s="397">
        <v>2</v>
      </c>
      <c r="E2493" s="397">
        <v>1</v>
      </c>
      <c r="F2493" s="410">
        <v>2.86</v>
      </c>
      <c r="G2493" s="410" t="s">
        <v>26</v>
      </c>
      <c r="H2493" s="410">
        <v>0.15</v>
      </c>
      <c r="I2493" s="399">
        <f t="shared" si="111"/>
        <v>2.57</v>
      </c>
      <c r="J2493" s="396"/>
    </row>
    <row r="2494" spans="1:10" s="367" customFormat="1" ht="22.5" customHeight="1">
      <c r="A2494" s="395"/>
      <c r="B2494" s="401" t="s">
        <v>1459</v>
      </c>
      <c r="C2494" s="397">
        <v>3</v>
      </c>
      <c r="D2494" s="397">
        <v>2</v>
      </c>
      <c r="E2494" s="397">
        <v>1</v>
      </c>
      <c r="F2494" s="410">
        <v>3.46</v>
      </c>
      <c r="G2494" s="410" t="s">
        <v>26</v>
      </c>
      <c r="H2494" s="410">
        <v>0.15</v>
      </c>
      <c r="I2494" s="399">
        <f t="shared" si="111"/>
        <v>3.11</v>
      </c>
      <c r="J2494" s="396"/>
    </row>
    <row r="2495" spans="1:10" s="367" customFormat="1" ht="22.5" customHeight="1">
      <c r="A2495" s="395"/>
      <c r="B2495" s="401" t="s">
        <v>1454</v>
      </c>
      <c r="C2495" s="397">
        <v>3</v>
      </c>
      <c r="D2495" s="397">
        <v>2</v>
      </c>
      <c r="E2495" s="397">
        <v>2</v>
      </c>
      <c r="F2495" s="410">
        <v>0.91</v>
      </c>
      <c r="G2495" s="410" t="s">
        <v>26</v>
      </c>
      <c r="H2495" s="410">
        <v>0.15</v>
      </c>
      <c r="I2495" s="399">
        <f t="shared" si="111"/>
        <v>1.64</v>
      </c>
      <c r="J2495" s="396"/>
    </row>
    <row r="2496" spans="1:10" s="367" customFormat="1" ht="22.5" customHeight="1">
      <c r="A2496" s="395"/>
      <c r="B2496" s="401" t="s">
        <v>1528</v>
      </c>
      <c r="C2496" s="397">
        <v>3</v>
      </c>
      <c r="D2496" s="397">
        <v>2</v>
      </c>
      <c r="E2496" s="397">
        <v>10</v>
      </c>
      <c r="F2496" s="410">
        <v>3.35</v>
      </c>
      <c r="G2496" s="410" t="s">
        <v>26</v>
      </c>
      <c r="H2496" s="410">
        <v>0.15</v>
      </c>
      <c r="I2496" s="399">
        <f t="shared" si="111"/>
        <v>30.15</v>
      </c>
      <c r="J2496" s="396"/>
    </row>
    <row r="2497" spans="1:10" s="367" customFormat="1" ht="22.5" customHeight="1">
      <c r="A2497" s="395"/>
      <c r="B2497" s="401" t="s">
        <v>1529</v>
      </c>
      <c r="C2497" s="397">
        <v>3</v>
      </c>
      <c r="D2497" s="397">
        <v>2</v>
      </c>
      <c r="E2497" s="397">
        <v>10</v>
      </c>
      <c r="F2497" s="410">
        <v>3.35</v>
      </c>
      <c r="G2497" s="410" t="s">
        <v>26</v>
      </c>
      <c r="H2497" s="410">
        <v>0.15</v>
      </c>
      <c r="I2497" s="399">
        <f t="shared" si="111"/>
        <v>30.15</v>
      </c>
      <c r="J2497" s="396"/>
    </row>
    <row r="2498" spans="1:10" s="367" customFormat="1" ht="35.25" customHeight="1">
      <c r="A2498" s="395"/>
      <c r="B2498" s="401" t="s">
        <v>1530</v>
      </c>
      <c r="C2498" s="397">
        <v>3</v>
      </c>
      <c r="D2498" s="397">
        <v>2</v>
      </c>
      <c r="E2498" s="397">
        <v>10</v>
      </c>
      <c r="F2498" s="410">
        <v>2.52</v>
      </c>
      <c r="G2498" s="410" t="s">
        <v>26</v>
      </c>
      <c r="H2498" s="410">
        <v>0.15</v>
      </c>
      <c r="I2498" s="399">
        <f t="shared" si="111"/>
        <v>22.68</v>
      </c>
      <c r="J2498" s="396"/>
    </row>
    <row r="2499" spans="1:10" s="367" customFormat="1" ht="22.5" customHeight="1">
      <c r="A2499" s="395"/>
      <c r="B2499" s="401" t="s">
        <v>1531</v>
      </c>
      <c r="C2499" s="397">
        <v>3</v>
      </c>
      <c r="D2499" s="397">
        <v>2</v>
      </c>
      <c r="E2499" s="397">
        <v>10</v>
      </c>
      <c r="F2499" s="410">
        <v>2.92</v>
      </c>
      <c r="G2499" s="410" t="s">
        <v>26</v>
      </c>
      <c r="H2499" s="410">
        <v>0.15</v>
      </c>
      <c r="I2499" s="399">
        <f t="shared" si="111"/>
        <v>26.28</v>
      </c>
      <c r="J2499" s="396"/>
    </row>
    <row r="2500" spans="1:10" s="367" customFormat="1" ht="22.5" customHeight="1">
      <c r="A2500" s="395"/>
      <c r="B2500" s="401" t="s">
        <v>1532</v>
      </c>
      <c r="C2500" s="397">
        <v>3</v>
      </c>
      <c r="D2500" s="397">
        <v>2</v>
      </c>
      <c r="E2500" s="397">
        <v>10</v>
      </c>
      <c r="F2500" s="410">
        <v>3.63</v>
      </c>
      <c r="G2500" s="410" t="s">
        <v>26</v>
      </c>
      <c r="H2500" s="410">
        <v>0.15</v>
      </c>
      <c r="I2500" s="399">
        <f t="shared" si="111"/>
        <v>32.67</v>
      </c>
      <c r="J2500" s="396"/>
    </row>
    <row r="2501" spans="1:10" s="367" customFormat="1" ht="22.5" customHeight="1">
      <c r="A2501" s="395"/>
      <c r="B2501" s="396" t="s">
        <v>1418</v>
      </c>
      <c r="C2501" s="397"/>
      <c r="D2501" s="397"/>
      <c r="E2501" s="397"/>
      <c r="F2501" s="410"/>
      <c r="G2501" s="410"/>
      <c r="H2501" s="410"/>
      <c r="I2501" s="399"/>
      <c r="J2501" s="396"/>
    </row>
    <row r="2502" spans="1:10" s="367" customFormat="1" ht="22.5" customHeight="1">
      <c r="A2502" s="395"/>
      <c r="B2502" s="401" t="s">
        <v>89</v>
      </c>
      <c r="C2502" s="397">
        <v>3</v>
      </c>
      <c r="D2502" s="397">
        <v>1</v>
      </c>
      <c r="E2502" s="397">
        <v>10</v>
      </c>
      <c r="F2502" s="410">
        <v>3.35</v>
      </c>
      <c r="G2502" s="410">
        <v>0.45</v>
      </c>
      <c r="H2502" s="410" t="s">
        <v>26</v>
      </c>
      <c r="I2502" s="399">
        <f t="shared" ref="I2502:I2510" si="112">PRODUCT(C2502:H2502)</f>
        <v>45.23</v>
      </c>
      <c r="J2502" s="396"/>
    </row>
    <row r="2503" spans="1:10" s="367" customFormat="1" ht="22.5" customHeight="1">
      <c r="A2503" s="395"/>
      <c r="B2503" s="401" t="s">
        <v>1533</v>
      </c>
      <c r="C2503" s="397">
        <v>3</v>
      </c>
      <c r="D2503" s="397">
        <v>2</v>
      </c>
      <c r="E2503" s="397">
        <v>10</v>
      </c>
      <c r="F2503" s="410">
        <v>3.35</v>
      </c>
      <c r="G2503" s="410">
        <v>0.6</v>
      </c>
      <c r="H2503" s="410" t="s">
        <v>26</v>
      </c>
      <c r="I2503" s="399">
        <f t="shared" si="112"/>
        <v>120.6</v>
      </c>
      <c r="J2503" s="396"/>
    </row>
    <row r="2504" spans="1:10" s="367" customFormat="1" ht="22.5" customHeight="1">
      <c r="A2504" s="395"/>
      <c r="B2504" s="401" t="s">
        <v>88</v>
      </c>
      <c r="C2504" s="397">
        <v>3</v>
      </c>
      <c r="D2504" s="397">
        <v>1</v>
      </c>
      <c r="E2504" s="397">
        <v>10</v>
      </c>
      <c r="F2504" s="410">
        <v>4.5999999999999996</v>
      </c>
      <c r="G2504" s="410">
        <v>0.6</v>
      </c>
      <c r="H2504" s="410" t="s">
        <v>26</v>
      </c>
      <c r="I2504" s="399">
        <f t="shared" si="112"/>
        <v>82.8</v>
      </c>
      <c r="J2504" s="396"/>
    </row>
    <row r="2505" spans="1:10" s="367" customFormat="1" ht="22.5" customHeight="1">
      <c r="A2505" s="395"/>
      <c r="B2505" s="401" t="s">
        <v>1419</v>
      </c>
      <c r="C2505" s="397">
        <v>3</v>
      </c>
      <c r="D2505" s="397">
        <v>1</v>
      </c>
      <c r="E2505" s="397">
        <v>10</v>
      </c>
      <c r="F2505" s="410">
        <v>3.85</v>
      </c>
      <c r="G2505" s="410">
        <v>0.6</v>
      </c>
      <c r="H2505" s="410" t="s">
        <v>26</v>
      </c>
      <c r="I2505" s="399">
        <f t="shared" si="112"/>
        <v>69.3</v>
      </c>
      <c r="J2505" s="396"/>
    </row>
    <row r="2506" spans="1:10" s="367" customFormat="1" ht="22.5" customHeight="1">
      <c r="A2506" s="395"/>
      <c r="B2506" s="401" t="s">
        <v>1534</v>
      </c>
      <c r="C2506" s="397">
        <v>3</v>
      </c>
      <c r="D2506" s="397">
        <v>2</v>
      </c>
      <c r="E2506" s="397">
        <v>10</v>
      </c>
      <c r="F2506" s="410">
        <v>0.6</v>
      </c>
      <c r="G2506" s="410">
        <v>0.1</v>
      </c>
      <c r="H2506" s="410" t="s">
        <v>26</v>
      </c>
      <c r="I2506" s="399">
        <f t="shared" si="112"/>
        <v>3.6</v>
      </c>
      <c r="J2506" s="396"/>
    </row>
    <row r="2507" spans="1:10" s="367" customFormat="1" ht="22.5" customHeight="1">
      <c r="A2507" s="395"/>
      <c r="B2507" s="401" t="s">
        <v>514</v>
      </c>
      <c r="C2507" s="397">
        <v>3</v>
      </c>
      <c r="D2507" s="397">
        <v>1</v>
      </c>
      <c r="E2507" s="397">
        <v>8</v>
      </c>
      <c r="F2507" s="410">
        <v>3.1</v>
      </c>
      <c r="G2507" s="410">
        <v>1</v>
      </c>
      <c r="H2507" s="410" t="s">
        <v>26</v>
      </c>
      <c r="I2507" s="399">
        <f t="shared" si="112"/>
        <v>74.400000000000006</v>
      </c>
      <c r="J2507" s="396"/>
    </row>
    <row r="2508" spans="1:10" s="367" customFormat="1" ht="22.5" customHeight="1">
      <c r="A2508" s="395"/>
      <c r="B2508" s="401" t="s">
        <v>514</v>
      </c>
      <c r="C2508" s="397">
        <v>3</v>
      </c>
      <c r="D2508" s="397">
        <v>1</v>
      </c>
      <c r="E2508" s="397">
        <v>2</v>
      </c>
      <c r="F2508" s="410">
        <v>2.5</v>
      </c>
      <c r="G2508" s="410">
        <v>1</v>
      </c>
      <c r="H2508" s="410" t="s">
        <v>26</v>
      </c>
      <c r="I2508" s="399">
        <f t="shared" si="112"/>
        <v>15</v>
      </c>
      <c r="J2508" s="396"/>
    </row>
    <row r="2509" spans="1:10" s="367" customFormat="1" ht="22.5" customHeight="1">
      <c r="A2509" s="395"/>
      <c r="B2509" s="401" t="s">
        <v>1535</v>
      </c>
      <c r="C2509" s="397">
        <v>3</v>
      </c>
      <c r="D2509" s="397">
        <v>1</v>
      </c>
      <c r="E2509" s="397">
        <v>8</v>
      </c>
      <c r="F2509" s="410">
        <v>5.0999999999999996</v>
      </c>
      <c r="G2509" s="410" t="s">
        <v>26</v>
      </c>
      <c r="H2509" s="398">
        <v>0.125</v>
      </c>
      <c r="I2509" s="399">
        <f t="shared" si="112"/>
        <v>15.3</v>
      </c>
      <c r="J2509" s="396"/>
    </row>
    <row r="2510" spans="1:10" s="367" customFormat="1" ht="22.5" customHeight="1">
      <c r="A2510" s="395"/>
      <c r="B2510" s="401" t="s">
        <v>514</v>
      </c>
      <c r="C2510" s="397">
        <v>3</v>
      </c>
      <c r="D2510" s="397">
        <v>1</v>
      </c>
      <c r="E2510" s="397">
        <v>2</v>
      </c>
      <c r="F2510" s="410">
        <v>5.5</v>
      </c>
      <c r="G2510" s="410" t="s">
        <v>26</v>
      </c>
      <c r="H2510" s="398">
        <v>0.125</v>
      </c>
      <c r="I2510" s="399">
        <f t="shared" si="112"/>
        <v>4.13</v>
      </c>
      <c r="J2510" s="396"/>
    </row>
    <row r="2511" spans="1:10" s="367" customFormat="1" ht="22.5" customHeight="1">
      <c r="A2511" s="395"/>
      <c r="B2511" s="396" t="s">
        <v>1536</v>
      </c>
      <c r="C2511" s="397"/>
      <c r="D2511" s="397"/>
      <c r="E2511" s="397"/>
      <c r="F2511" s="410"/>
      <c r="G2511" s="410"/>
      <c r="H2511" s="410"/>
      <c r="I2511" s="399"/>
      <c r="J2511" s="396"/>
    </row>
    <row r="2512" spans="1:10" s="367" customFormat="1" ht="22.5" customHeight="1">
      <c r="A2512" s="395"/>
      <c r="B2512" s="396" t="s">
        <v>1468</v>
      </c>
      <c r="C2512" s="397"/>
      <c r="D2512" s="397"/>
      <c r="E2512" s="397"/>
      <c r="F2512" s="410"/>
      <c r="G2512" s="410"/>
      <c r="H2512" s="410"/>
      <c r="I2512" s="399"/>
      <c r="J2512" s="396"/>
    </row>
    <row r="2513" spans="1:10" s="367" customFormat="1" ht="22.5" customHeight="1">
      <c r="A2513" s="395"/>
      <c r="B2513" s="401" t="s">
        <v>1469</v>
      </c>
      <c r="C2513" s="397">
        <v>7</v>
      </c>
      <c r="D2513" s="397">
        <v>1</v>
      </c>
      <c r="E2513" s="397">
        <v>1</v>
      </c>
      <c r="F2513" s="410">
        <v>50.07</v>
      </c>
      <c r="G2513" s="410">
        <v>24.77</v>
      </c>
      <c r="H2513" s="398" t="s">
        <v>26</v>
      </c>
      <c r="I2513" s="399">
        <f t="shared" ref="I2513:I2529" si="113">PRODUCT(C2513:H2513)</f>
        <v>8681.64</v>
      </c>
      <c r="J2513" s="396"/>
    </row>
    <row r="2514" spans="1:10" s="367" customFormat="1" ht="22.5" customHeight="1">
      <c r="A2514" s="395"/>
      <c r="B2514" s="401" t="s">
        <v>1359</v>
      </c>
      <c r="C2514" s="397">
        <v>7</v>
      </c>
      <c r="D2514" s="397">
        <v>1</v>
      </c>
      <c r="E2514" s="397">
        <v>1</v>
      </c>
      <c r="F2514" s="410">
        <v>217.43</v>
      </c>
      <c r="G2514" s="410" t="s">
        <v>26</v>
      </c>
      <c r="H2514" s="398">
        <v>0.125</v>
      </c>
      <c r="I2514" s="399">
        <f t="shared" si="113"/>
        <v>190.25</v>
      </c>
      <c r="J2514" s="396"/>
    </row>
    <row r="2515" spans="1:10" s="367" customFormat="1" ht="22.5" customHeight="1">
      <c r="A2515" s="395"/>
      <c r="B2515" s="401" t="s">
        <v>1401</v>
      </c>
      <c r="C2515" s="397">
        <v>1</v>
      </c>
      <c r="D2515" s="397">
        <v>1</v>
      </c>
      <c r="E2515" s="397">
        <v>6</v>
      </c>
      <c r="F2515" s="410">
        <v>10</v>
      </c>
      <c r="G2515" s="410" t="s">
        <v>26</v>
      </c>
      <c r="H2515" s="398">
        <v>0.125</v>
      </c>
      <c r="I2515" s="399">
        <f t="shared" si="113"/>
        <v>7.5</v>
      </c>
      <c r="J2515" s="396"/>
    </row>
    <row r="2516" spans="1:10" s="367" customFormat="1" ht="22.5" customHeight="1">
      <c r="A2516" s="395"/>
      <c r="B2516" s="401" t="s">
        <v>1401</v>
      </c>
      <c r="C2516" s="397">
        <v>1</v>
      </c>
      <c r="D2516" s="397">
        <v>1</v>
      </c>
      <c r="E2516" s="397">
        <v>2</v>
      </c>
      <c r="F2516" s="410">
        <v>8.8000000000000007</v>
      </c>
      <c r="G2516" s="410" t="s">
        <v>26</v>
      </c>
      <c r="H2516" s="398">
        <v>0.125</v>
      </c>
      <c r="I2516" s="399">
        <f t="shared" si="113"/>
        <v>2.2000000000000002</v>
      </c>
      <c r="J2516" s="396"/>
    </row>
    <row r="2517" spans="1:10" s="367" customFormat="1" ht="22.5" customHeight="1">
      <c r="A2517" s="395"/>
      <c r="B2517" s="401" t="s">
        <v>1401</v>
      </c>
      <c r="C2517" s="397">
        <v>1</v>
      </c>
      <c r="D2517" s="397">
        <v>1</v>
      </c>
      <c r="E2517" s="397">
        <v>2</v>
      </c>
      <c r="F2517" s="410">
        <v>9.0500000000000007</v>
      </c>
      <c r="G2517" s="410" t="s">
        <v>26</v>
      </c>
      <c r="H2517" s="398">
        <v>0.125</v>
      </c>
      <c r="I2517" s="399">
        <f t="shared" si="113"/>
        <v>2.2599999999999998</v>
      </c>
      <c r="J2517" s="396"/>
    </row>
    <row r="2518" spans="1:10" s="367" customFormat="1" ht="22.5" customHeight="1">
      <c r="A2518" s="395"/>
      <c r="B2518" s="401" t="s">
        <v>1402</v>
      </c>
      <c r="C2518" s="397">
        <v>1</v>
      </c>
      <c r="D2518" s="397">
        <v>1</v>
      </c>
      <c r="E2518" s="397">
        <v>10</v>
      </c>
      <c r="F2518" s="410">
        <v>4.37</v>
      </c>
      <c r="G2518" s="398" t="s">
        <v>26</v>
      </c>
      <c r="H2518" s="398">
        <v>0.125</v>
      </c>
      <c r="I2518" s="399">
        <f t="shared" si="113"/>
        <v>5.46</v>
      </c>
      <c r="J2518" s="396"/>
    </row>
    <row r="2519" spans="1:10" s="367" customFormat="1" ht="22.5" customHeight="1">
      <c r="A2519" s="395"/>
      <c r="B2519" s="401" t="s">
        <v>971</v>
      </c>
      <c r="C2519" s="397">
        <v>1</v>
      </c>
      <c r="D2519" s="397">
        <v>1</v>
      </c>
      <c r="E2519" s="397">
        <v>2</v>
      </c>
      <c r="F2519" s="398">
        <v>3.81</v>
      </c>
      <c r="G2519" s="398" t="s">
        <v>26</v>
      </c>
      <c r="H2519" s="398">
        <v>0.125</v>
      </c>
      <c r="I2519" s="399">
        <f t="shared" si="113"/>
        <v>0.95</v>
      </c>
      <c r="J2519" s="396"/>
    </row>
    <row r="2520" spans="1:10" s="367" customFormat="1" ht="22.5" customHeight="1">
      <c r="A2520" s="395"/>
      <c r="B2520" s="401" t="s">
        <v>1403</v>
      </c>
      <c r="C2520" s="397">
        <v>1</v>
      </c>
      <c r="D2520" s="397">
        <v>1</v>
      </c>
      <c r="E2520" s="397">
        <v>2</v>
      </c>
      <c r="F2520" s="398">
        <v>3.26</v>
      </c>
      <c r="G2520" s="398" t="s">
        <v>26</v>
      </c>
      <c r="H2520" s="398">
        <v>0.125</v>
      </c>
      <c r="I2520" s="399">
        <f t="shared" si="113"/>
        <v>0.82</v>
      </c>
      <c r="J2520" s="396"/>
    </row>
    <row r="2521" spans="1:10" s="367" customFormat="1" ht="22.5" customHeight="1">
      <c r="A2521" s="395"/>
      <c r="B2521" s="401" t="s">
        <v>1403</v>
      </c>
      <c r="C2521" s="397">
        <v>1</v>
      </c>
      <c r="D2521" s="397">
        <v>1</v>
      </c>
      <c r="E2521" s="397">
        <v>4</v>
      </c>
      <c r="F2521" s="398">
        <v>2.77</v>
      </c>
      <c r="G2521" s="398" t="s">
        <v>26</v>
      </c>
      <c r="H2521" s="398">
        <v>0.125</v>
      </c>
      <c r="I2521" s="399">
        <f t="shared" si="113"/>
        <v>1.39</v>
      </c>
      <c r="J2521" s="396"/>
    </row>
    <row r="2522" spans="1:10" s="367" customFormat="1" ht="22.5" customHeight="1">
      <c r="A2522" s="395"/>
      <c r="B2522" s="401" t="s">
        <v>1403</v>
      </c>
      <c r="C2522" s="397">
        <v>1</v>
      </c>
      <c r="D2522" s="397">
        <v>1</v>
      </c>
      <c r="E2522" s="397">
        <v>2</v>
      </c>
      <c r="F2522" s="398">
        <v>3.8</v>
      </c>
      <c r="G2522" s="398" t="s">
        <v>26</v>
      </c>
      <c r="H2522" s="398">
        <v>0.125</v>
      </c>
      <c r="I2522" s="399">
        <f t="shared" si="113"/>
        <v>0.95</v>
      </c>
      <c r="J2522" s="396"/>
    </row>
    <row r="2523" spans="1:10" s="367" customFormat="1" ht="22.5" customHeight="1">
      <c r="A2523" s="395"/>
      <c r="B2523" s="401" t="s">
        <v>1403</v>
      </c>
      <c r="C2523" s="397">
        <v>1</v>
      </c>
      <c r="D2523" s="397">
        <v>1</v>
      </c>
      <c r="E2523" s="397">
        <v>2</v>
      </c>
      <c r="F2523" s="398">
        <v>3.28</v>
      </c>
      <c r="G2523" s="398" t="s">
        <v>26</v>
      </c>
      <c r="H2523" s="398">
        <v>0.125</v>
      </c>
      <c r="I2523" s="399">
        <f t="shared" si="113"/>
        <v>0.82</v>
      </c>
      <c r="J2523" s="396"/>
    </row>
    <row r="2524" spans="1:10" s="367" customFormat="1" ht="22.5" customHeight="1">
      <c r="A2524" s="395"/>
      <c r="B2524" s="401" t="s">
        <v>1404</v>
      </c>
      <c r="C2524" s="397">
        <v>1</v>
      </c>
      <c r="D2524" s="397">
        <v>1</v>
      </c>
      <c r="E2524" s="397">
        <v>2</v>
      </c>
      <c r="F2524" s="398">
        <v>3.06</v>
      </c>
      <c r="G2524" s="398" t="s">
        <v>26</v>
      </c>
      <c r="H2524" s="398">
        <v>0.125</v>
      </c>
      <c r="I2524" s="399">
        <f t="shared" si="113"/>
        <v>0.77</v>
      </c>
      <c r="J2524" s="396"/>
    </row>
    <row r="2525" spans="1:10" s="367" customFormat="1" ht="22.5" customHeight="1">
      <c r="A2525" s="395"/>
      <c r="B2525" s="401" t="s">
        <v>1405</v>
      </c>
      <c r="C2525" s="397">
        <v>1</v>
      </c>
      <c r="D2525" s="397">
        <v>1</v>
      </c>
      <c r="E2525" s="397">
        <v>2</v>
      </c>
      <c r="F2525" s="398">
        <v>4.6100000000000003</v>
      </c>
      <c r="G2525" s="398" t="s">
        <v>26</v>
      </c>
      <c r="H2525" s="398">
        <v>0.125</v>
      </c>
      <c r="I2525" s="399">
        <f t="shared" si="113"/>
        <v>1.1499999999999999</v>
      </c>
      <c r="J2525" s="396"/>
    </row>
    <row r="2526" spans="1:10" s="367" customFormat="1" ht="22.5" customHeight="1">
      <c r="A2526" s="395"/>
      <c r="B2526" s="401" t="s">
        <v>1470</v>
      </c>
      <c r="C2526" s="397">
        <v>7</v>
      </c>
      <c r="D2526" s="397">
        <v>1</v>
      </c>
      <c r="E2526" s="397">
        <v>2</v>
      </c>
      <c r="F2526" s="410">
        <v>9</v>
      </c>
      <c r="G2526" s="410" t="s">
        <v>26</v>
      </c>
      <c r="H2526" s="398">
        <v>0.125</v>
      </c>
      <c r="I2526" s="399">
        <f t="shared" si="113"/>
        <v>15.75</v>
      </c>
      <c r="J2526" s="396"/>
    </row>
    <row r="2527" spans="1:10" s="367" customFormat="1" ht="22.5" customHeight="1">
      <c r="A2527" s="395"/>
      <c r="B2527" s="401" t="s">
        <v>1471</v>
      </c>
      <c r="C2527" s="397">
        <v>7</v>
      </c>
      <c r="D2527" s="397">
        <v>1</v>
      </c>
      <c r="E2527" s="397">
        <v>1</v>
      </c>
      <c r="F2527" s="410">
        <v>10.6</v>
      </c>
      <c r="G2527" s="410" t="s">
        <v>26</v>
      </c>
      <c r="H2527" s="398">
        <v>0.125</v>
      </c>
      <c r="I2527" s="399">
        <f t="shared" si="113"/>
        <v>9.2799999999999994</v>
      </c>
      <c r="J2527" s="396"/>
    </row>
    <row r="2528" spans="1:10" s="367" customFormat="1" ht="22.5" customHeight="1">
      <c r="A2528" s="395"/>
      <c r="B2528" s="401" t="s">
        <v>1472</v>
      </c>
      <c r="C2528" s="397">
        <v>7</v>
      </c>
      <c r="D2528" s="397">
        <v>1</v>
      </c>
      <c r="E2528" s="397">
        <v>2</v>
      </c>
      <c r="F2528" s="410">
        <v>11.26</v>
      </c>
      <c r="G2528" s="410" t="s">
        <v>26</v>
      </c>
      <c r="H2528" s="398">
        <v>0.125</v>
      </c>
      <c r="I2528" s="399">
        <f t="shared" si="113"/>
        <v>19.71</v>
      </c>
      <c r="J2528" s="396"/>
    </row>
    <row r="2529" spans="1:10" s="367" customFormat="1" ht="22.5" customHeight="1">
      <c r="A2529" s="395"/>
      <c r="B2529" s="401" t="s">
        <v>1473</v>
      </c>
      <c r="C2529" s="397">
        <v>7</v>
      </c>
      <c r="D2529" s="397">
        <v>1</v>
      </c>
      <c r="E2529" s="397">
        <v>1</v>
      </c>
      <c r="F2529" s="410">
        <v>11.96</v>
      </c>
      <c r="G2529" s="410" t="s">
        <v>26</v>
      </c>
      <c r="H2529" s="398">
        <v>0.125</v>
      </c>
      <c r="I2529" s="399">
        <f t="shared" si="113"/>
        <v>10.47</v>
      </c>
      <c r="J2529" s="396"/>
    </row>
    <row r="2530" spans="1:10" s="367" customFormat="1" ht="22.5" customHeight="1">
      <c r="A2530" s="395"/>
      <c r="B2530" s="396" t="s">
        <v>1379</v>
      </c>
      <c r="C2530" s="397"/>
      <c r="D2530" s="397"/>
      <c r="E2530" s="397"/>
      <c r="F2530" s="410"/>
      <c r="G2530" s="410"/>
      <c r="H2530" s="410"/>
      <c r="I2530" s="399"/>
      <c r="J2530" s="396"/>
    </row>
    <row r="2531" spans="1:10" s="367" customFormat="1" ht="22.5" customHeight="1">
      <c r="A2531" s="395"/>
      <c r="B2531" s="401" t="s">
        <v>1481</v>
      </c>
      <c r="C2531" s="397">
        <v>7</v>
      </c>
      <c r="D2531" s="397">
        <v>2</v>
      </c>
      <c r="E2531" s="397">
        <v>5</v>
      </c>
      <c r="F2531" s="410">
        <v>47.03</v>
      </c>
      <c r="G2531" s="410" t="s">
        <v>26</v>
      </c>
      <c r="H2531" s="398">
        <v>0.27500000000000002</v>
      </c>
      <c r="I2531" s="399">
        <f t="shared" ref="I2531:I2555" si="114">PRODUCT(C2531:H2531)</f>
        <v>905.33</v>
      </c>
      <c r="J2531" s="396"/>
    </row>
    <row r="2532" spans="1:10" s="367" customFormat="1" ht="22.5" customHeight="1">
      <c r="A2532" s="395"/>
      <c r="B2532" s="401" t="s">
        <v>1482</v>
      </c>
      <c r="C2532" s="397">
        <v>7</v>
      </c>
      <c r="D2532" s="397">
        <v>2</v>
      </c>
      <c r="E2532" s="397">
        <v>5</v>
      </c>
      <c r="F2532" s="410">
        <v>8.9</v>
      </c>
      <c r="G2532" s="410" t="s">
        <v>26</v>
      </c>
      <c r="H2532" s="398">
        <v>0.27500000000000002</v>
      </c>
      <c r="I2532" s="399">
        <f t="shared" si="114"/>
        <v>171.33</v>
      </c>
      <c r="J2532" s="396"/>
    </row>
    <row r="2533" spans="1:10" s="367" customFormat="1" ht="22.5" customHeight="1">
      <c r="A2533" s="395"/>
      <c r="B2533" s="401" t="s">
        <v>1482</v>
      </c>
      <c r="C2533" s="397">
        <v>7</v>
      </c>
      <c r="D2533" s="397">
        <v>2</v>
      </c>
      <c r="E2533" s="397">
        <v>10</v>
      </c>
      <c r="F2533" s="410">
        <v>8.9</v>
      </c>
      <c r="G2533" s="410" t="s">
        <v>26</v>
      </c>
      <c r="H2533" s="398">
        <v>0.47499999999999998</v>
      </c>
      <c r="I2533" s="399">
        <f t="shared" si="114"/>
        <v>591.85</v>
      </c>
      <c r="J2533" s="396"/>
    </row>
    <row r="2534" spans="1:10" s="367" customFormat="1" ht="22.5" customHeight="1">
      <c r="A2534" s="395"/>
      <c r="B2534" s="401" t="s">
        <v>1382</v>
      </c>
      <c r="C2534" s="397">
        <v>7</v>
      </c>
      <c r="D2534" s="397">
        <v>2</v>
      </c>
      <c r="E2534" s="397">
        <v>10</v>
      </c>
      <c r="F2534" s="410">
        <v>3.35</v>
      </c>
      <c r="G2534" s="410" t="s">
        <v>26</v>
      </c>
      <c r="H2534" s="398">
        <v>0.27500000000000002</v>
      </c>
      <c r="I2534" s="399">
        <f t="shared" si="114"/>
        <v>128.97999999999999</v>
      </c>
      <c r="J2534" s="396"/>
    </row>
    <row r="2535" spans="1:10" s="367" customFormat="1" ht="33">
      <c r="A2535" s="395"/>
      <c r="B2535" s="401" t="s">
        <v>1483</v>
      </c>
      <c r="C2535" s="397">
        <v>7</v>
      </c>
      <c r="D2535" s="397">
        <v>2</v>
      </c>
      <c r="E2535" s="397">
        <v>30</v>
      </c>
      <c r="F2535" s="410">
        <v>3.39</v>
      </c>
      <c r="G2535" s="410" t="s">
        <v>26</v>
      </c>
      <c r="H2535" s="398">
        <v>0.47499999999999998</v>
      </c>
      <c r="I2535" s="399">
        <f t="shared" si="114"/>
        <v>676.31</v>
      </c>
      <c r="J2535" s="396"/>
    </row>
    <row r="2536" spans="1:10" s="367" customFormat="1" ht="16.5">
      <c r="A2536" s="395"/>
      <c r="B2536" s="401" t="s">
        <v>1383</v>
      </c>
      <c r="C2536" s="397">
        <v>7</v>
      </c>
      <c r="D2536" s="397">
        <v>2</v>
      </c>
      <c r="E2536" s="397">
        <v>10</v>
      </c>
      <c r="F2536" s="410">
        <v>2.57</v>
      </c>
      <c r="G2536" s="410" t="s">
        <v>26</v>
      </c>
      <c r="H2536" s="398">
        <v>0.27500000000000002</v>
      </c>
      <c r="I2536" s="399">
        <f t="shared" si="114"/>
        <v>98.95</v>
      </c>
      <c r="J2536" s="396"/>
    </row>
    <row r="2537" spans="1:10" s="367" customFormat="1" ht="22.5" customHeight="1">
      <c r="A2537" s="395"/>
      <c r="B2537" s="401" t="s">
        <v>1484</v>
      </c>
      <c r="C2537" s="397">
        <v>7</v>
      </c>
      <c r="D2537" s="397">
        <v>2</v>
      </c>
      <c r="E2537" s="397">
        <v>10</v>
      </c>
      <c r="F2537" s="410">
        <v>0.99</v>
      </c>
      <c r="G2537" s="410" t="s">
        <v>26</v>
      </c>
      <c r="H2537" s="398">
        <v>0.27500000000000002</v>
      </c>
      <c r="I2537" s="399">
        <f t="shared" si="114"/>
        <v>38.119999999999997</v>
      </c>
      <c r="J2537" s="396"/>
    </row>
    <row r="2538" spans="1:10" s="367" customFormat="1" ht="22.5" customHeight="1">
      <c r="A2538" s="395"/>
      <c r="B2538" s="401" t="s">
        <v>1485</v>
      </c>
      <c r="C2538" s="397">
        <v>7</v>
      </c>
      <c r="D2538" s="397">
        <v>2</v>
      </c>
      <c r="E2538" s="397">
        <v>24</v>
      </c>
      <c r="F2538" s="410">
        <v>1.9</v>
      </c>
      <c r="G2538" s="410" t="s">
        <v>26</v>
      </c>
      <c r="H2538" s="398">
        <v>0.17499999999999999</v>
      </c>
      <c r="I2538" s="399">
        <f t="shared" si="114"/>
        <v>111.72</v>
      </c>
      <c r="J2538" s="396"/>
    </row>
    <row r="2539" spans="1:10" s="367" customFormat="1" ht="22.5" customHeight="1">
      <c r="A2539" s="395"/>
      <c r="B2539" s="401" t="s">
        <v>1486</v>
      </c>
      <c r="C2539" s="397">
        <v>7</v>
      </c>
      <c r="D2539" s="397">
        <v>2</v>
      </c>
      <c r="E2539" s="397">
        <v>2</v>
      </c>
      <c r="F2539" s="410">
        <v>26.73</v>
      </c>
      <c r="G2539" s="410" t="s">
        <v>26</v>
      </c>
      <c r="H2539" s="398">
        <v>0.32500000000000001</v>
      </c>
      <c r="I2539" s="399">
        <f t="shared" si="114"/>
        <v>243.24</v>
      </c>
      <c r="J2539" s="396"/>
    </row>
    <row r="2540" spans="1:10" s="367" customFormat="1" ht="22.5" customHeight="1">
      <c r="A2540" s="395"/>
      <c r="B2540" s="401" t="s">
        <v>1487</v>
      </c>
      <c r="C2540" s="397">
        <v>7</v>
      </c>
      <c r="D2540" s="397">
        <v>2</v>
      </c>
      <c r="E2540" s="397">
        <v>1</v>
      </c>
      <c r="F2540" s="410">
        <v>7.62</v>
      </c>
      <c r="G2540" s="410" t="s">
        <v>26</v>
      </c>
      <c r="H2540" s="398">
        <v>0.47499999999999998</v>
      </c>
      <c r="I2540" s="399">
        <f t="shared" si="114"/>
        <v>50.67</v>
      </c>
      <c r="J2540" s="396"/>
    </row>
    <row r="2541" spans="1:10" s="367" customFormat="1" ht="22.5" customHeight="1">
      <c r="A2541" s="395"/>
      <c r="B2541" s="401" t="s">
        <v>1488</v>
      </c>
      <c r="C2541" s="397">
        <v>7</v>
      </c>
      <c r="D2541" s="397">
        <v>2</v>
      </c>
      <c r="E2541" s="397">
        <v>1</v>
      </c>
      <c r="F2541" s="410">
        <v>8.39</v>
      </c>
      <c r="G2541" s="410" t="s">
        <v>26</v>
      </c>
      <c r="H2541" s="398">
        <v>0.47499999999999998</v>
      </c>
      <c r="I2541" s="399">
        <f t="shared" si="114"/>
        <v>55.79</v>
      </c>
      <c r="J2541" s="396"/>
    </row>
    <row r="2542" spans="1:10" s="367" customFormat="1" ht="22.5" customHeight="1">
      <c r="A2542" s="395"/>
      <c r="B2542" s="401" t="s">
        <v>1489</v>
      </c>
      <c r="C2542" s="397">
        <v>7</v>
      </c>
      <c r="D2542" s="397">
        <v>2</v>
      </c>
      <c r="E2542" s="397">
        <v>1</v>
      </c>
      <c r="F2542" s="410">
        <v>6.06</v>
      </c>
      <c r="G2542" s="410" t="s">
        <v>26</v>
      </c>
      <c r="H2542" s="398">
        <v>0.17499999999999999</v>
      </c>
      <c r="I2542" s="399">
        <f t="shared" si="114"/>
        <v>14.85</v>
      </c>
      <c r="J2542" s="396"/>
    </row>
    <row r="2543" spans="1:10" s="367" customFormat="1" ht="22.5" customHeight="1">
      <c r="A2543" s="395"/>
      <c r="B2543" s="401" t="s">
        <v>1489</v>
      </c>
      <c r="C2543" s="397">
        <v>7</v>
      </c>
      <c r="D2543" s="397">
        <v>2</v>
      </c>
      <c r="E2543" s="397">
        <v>2</v>
      </c>
      <c r="F2543" s="410">
        <v>2.85</v>
      </c>
      <c r="G2543" s="410" t="s">
        <v>26</v>
      </c>
      <c r="H2543" s="398">
        <v>0.47499999999999998</v>
      </c>
      <c r="I2543" s="399">
        <f t="shared" si="114"/>
        <v>37.909999999999997</v>
      </c>
      <c r="J2543" s="396"/>
    </row>
    <row r="2544" spans="1:10" s="367" customFormat="1" ht="16.5">
      <c r="A2544" s="395"/>
      <c r="B2544" s="401" t="s">
        <v>1490</v>
      </c>
      <c r="C2544" s="397">
        <v>7</v>
      </c>
      <c r="D2544" s="397">
        <v>2</v>
      </c>
      <c r="E2544" s="397">
        <v>1</v>
      </c>
      <c r="F2544" s="410">
        <v>4.2300000000000004</v>
      </c>
      <c r="G2544" s="410" t="s">
        <v>26</v>
      </c>
      <c r="H2544" s="398">
        <v>0.47499999999999998</v>
      </c>
      <c r="I2544" s="399">
        <f t="shared" si="114"/>
        <v>28.13</v>
      </c>
      <c r="J2544" s="396"/>
    </row>
    <row r="2545" spans="1:10" s="367" customFormat="1" ht="22.5" customHeight="1">
      <c r="A2545" s="395"/>
      <c r="B2545" s="401" t="s">
        <v>1491</v>
      </c>
      <c r="C2545" s="397">
        <v>7</v>
      </c>
      <c r="D2545" s="397">
        <v>2</v>
      </c>
      <c r="E2545" s="397">
        <v>2</v>
      </c>
      <c r="F2545" s="410">
        <v>3.76</v>
      </c>
      <c r="G2545" s="410" t="s">
        <v>26</v>
      </c>
      <c r="H2545" s="398">
        <v>0.32500000000000001</v>
      </c>
      <c r="I2545" s="399">
        <f t="shared" si="114"/>
        <v>34.22</v>
      </c>
      <c r="J2545" s="396"/>
    </row>
    <row r="2546" spans="1:10" s="367" customFormat="1" ht="22.5" customHeight="1">
      <c r="A2546" s="395"/>
      <c r="B2546" s="401" t="s">
        <v>1492</v>
      </c>
      <c r="C2546" s="397">
        <v>7</v>
      </c>
      <c r="D2546" s="397">
        <v>2</v>
      </c>
      <c r="E2546" s="397">
        <v>1</v>
      </c>
      <c r="F2546" s="410">
        <v>3.7</v>
      </c>
      <c r="G2546" s="410" t="s">
        <v>26</v>
      </c>
      <c r="H2546" s="398">
        <v>0.32500000000000001</v>
      </c>
      <c r="I2546" s="399">
        <f t="shared" si="114"/>
        <v>16.84</v>
      </c>
      <c r="J2546" s="396"/>
    </row>
    <row r="2547" spans="1:10" s="367" customFormat="1" ht="22.5" customHeight="1">
      <c r="A2547" s="395"/>
      <c r="B2547" s="401" t="s">
        <v>1493</v>
      </c>
      <c r="C2547" s="397">
        <v>7</v>
      </c>
      <c r="D2547" s="397">
        <v>2</v>
      </c>
      <c r="E2547" s="397">
        <v>2</v>
      </c>
      <c r="F2547" s="410">
        <v>2.5299999999999998</v>
      </c>
      <c r="G2547" s="410" t="s">
        <v>26</v>
      </c>
      <c r="H2547" s="398">
        <v>0.17499999999999999</v>
      </c>
      <c r="I2547" s="399">
        <f t="shared" si="114"/>
        <v>12.4</v>
      </c>
      <c r="J2547" s="396"/>
    </row>
    <row r="2548" spans="1:10" s="367" customFormat="1" ht="22.5" customHeight="1">
      <c r="A2548" s="395"/>
      <c r="B2548" s="401" t="s">
        <v>1494</v>
      </c>
      <c r="C2548" s="397">
        <v>7</v>
      </c>
      <c r="D2548" s="397">
        <v>2</v>
      </c>
      <c r="E2548" s="397">
        <v>1</v>
      </c>
      <c r="F2548" s="410">
        <v>3.69</v>
      </c>
      <c r="G2548" s="410" t="s">
        <v>26</v>
      </c>
      <c r="H2548" s="398">
        <v>0.32500000000000001</v>
      </c>
      <c r="I2548" s="399">
        <f t="shared" si="114"/>
        <v>16.79</v>
      </c>
      <c r="J2548" s="396"/>
    </row>
    <row r="2549" spans="1:10" s="367" customFormat="1" ht="22.5" customHeight="1">
      <c r="A2549" s="395"/>
      <c r="B2549" s="401" t="s">
        <v>1495</v>
      </c>
      <c r="C2549" s="397">
        <v>7</v>
      </c>
      <c r="D2549" s="397">
        <v>2</v>
      </c>
      <c r="E2549" s="397">
        <v>2</v>
      </c>
      <c r="F2549" s="410">
        <v>3.31</v>
      </c>
      <c r="G2549" s="410" t="s">
        <v>26</v>
      </c>
      <c r="H2549" s="398">
        <v>0.27500000000000002</v>
      </c>
      <c r="I2549" s="399">
        <f t="shared" si="114"/>
        <v>25.49</v>
      </c>
      <c r="J2549" s="396"/>
    </row>
    <row r="2550" spans="1:10" s="367" customFormat="1" ht="22.5" customHeight="1">
      <c r="A2550" s="395"/>
      <c r="B2550" s="401" t="s">
        <v>1496</v>
      </c>
      <c r="C2550" s="397">
        <v>7</v>
      </c>
      <c r="D2550" s="397">
        <v>2</v>
      </c>
      <c r="E2550" s="397">
        <v>2</v>
      </c>
      <c r="F2550" s="410">
        <v>2.85</v>
      </c>
      <c r="G2550" s="410" t="s">
        <v>26</v>
      </c>
      <c r="H2550" s="398">
        <v>0.32500000000000001</v>
      </c>
      <c r="I2550" s="399">
        <f t="shared" si="114"/>
        <v>25.94</v>
      </c>
      <c r="J2550" s="396"/>
    </row>
    <row r="2551" spans="1:10" s="367" customFormat="1" ht="22.5" customHeight="1">
      <c r="A2551" s="395"/>
      <c r="B2551" s="401" t="s">
        <v>1497</v>
      </c>
      <c r="C2551" s="397">
        <v>7</v>
      </c>
      <c r="D2551" s="397">
        <v>2</v>
      </c>
      <c r="E2551" s="397">
        <v>2</v>
      </c>
      <c r="F2551" s="410">
        <v>3.67</v>
      </c>
      <c r="G2551" s="410" t="s">
        <v>26</v>
      </c>
      <c r="H2551" s="398">
        <v>0.32500000000000001</v>
      </c>
      <c r="I2551" s="399">
        <f t="shared" si="114"/>
        <v>33.4</v>
      </c>
      <c r="J2551" s="396"/>
    </row>
    <row r="2552" spans="1:10" s="367" customFormat="1" ht="22.5" customHeight="1">
      <c r="A2552" s="395"/>
      <c r="B2552" s="401" t="s">
        <v>1498</v>
      </c>
      <c r="C2552" s="397">
        <v>7</v>
      </c>
      <c r="D2552" s="397">
        <v>2</v>
      </c>
      <c r="E2552" s="397">
        <v>2</v>
      </c>
      <c r="F2552" s="410">
        <v>5.23</v>
      </c>
      <c r="G2552" s="410" t="s">
        <v>26</v>
      </c>
      <c r="H2552" s="398">
        <v>0.32500000000000001</v>
      </c>
      <c r="I2552" s="399">
        <f t="shared" si="114"/>
        <v>47.59</v>
      </c>
      <c r="J2552" s="396"/>
    </row>
    <row r="2553" spans="1:10" s="367" customFormat="1" ht="22.5" customHeight="1">
      <c r="A2553" s="395"/>
      <c r="B2553" s="401" t="s">
        <v>1499</v>
      </c>
      <c r="C2553" s="397">
        <v>7</v>
      </c>
      <c r="D2553" s="397">
        <v>2</v>
      </c>
      <c r="E2553" s="397">
        <v>4</v>
      </c>
      <c r="F2553" s="410">
        <v>2.7</v>
      </c>
      <c r="G2553" s="410" t="s">
        <v>26</v>
      </c>
      <c r="H2553" s="398">
        <v>0.27500000000000002</v>
      </c>
      <c r="I2553" s="399">
        <f t="shared" si="114"/>
        <v>41.58</v>
      </c>
      <c r="J2553" s="396"/>
    </row>
    <row r="2554" spans="1:10" s="367" customFormat="1" ht="22.5" customHeight="1">
      <c r="A2554" s="395"/>
      <c r="B2554" s="401" t="s">
        <v>1410</v>
      </c>
      <c r="C2554" s="397">
        <v>7</v>
      </c>
      <c r="D2554" s="397">
        <v>2</v>
      </c>
      <c r="E2554" s="397">
        <v>2</v>
      </c>
      <c r="F2554" s="410">
        <v>2.8</v>
      </c>
      <c r="G2554" s="410" t="s">
        <v>26</v>
      </c>
      <c r="H2554" s="398">
        <v>0.32500000000000001</v>
      </c>
      <c r="I2554" s="399">
        <f t="shared" si="114"/>
        <v>25.48</v>
      </c>
      <c r="J2554" s="396"/>
    </row>
    <row r="2555" spans="1:10" s="367" customFormat="1" ht="22.5" customHeight="1">
      <c r="A2555" s="395"/>
      <c r="B2555" s="401" t="s">
        <v>1500</v>
      </c>
      <c r="C2555" s="397">
        <v>7</v>
      </c>
      <c r="D2555" s="397">
        <v>2</v>
      </c>
      <c r="E2555" s="397">
        <v>4</v>
      </c>
      <c r="F2555" s="410">
        <v>7.43</v>
      </c>
      <c r="G2555" s="410" t="s">
        <v>26</v>
      </c>
      <c r="H2555" s="398">
        <v>0.2</v>
      </c>
      <c r="I2555" s="399">
        <f t="shared" si="114"/>
        <v>83.22</v>
      </c>
      <c r="J2555" s="396"/>
    </row>
    <row r="2556" spans="1:10" s="367" customFormat="1" ht="22.5" customHeight="1">
      <c r="A2556" s="395"/>
      <c r="B2556" s="396" t="s">
        <v>944</v>
      </c>
      <c r="C2556" s="397"/>
      <c r="D2556" s="397"/>
      <c r="E2556" s="397"/>
      <c r="F2556" s="410"/>
      <c r="G2556" s="410"/>
      <c r="H2556" s="398"/>
      <c r="I2556" s="399"/>
      <c r="J2556" s="396"/>
    </row>
    <row r="2557" spans="1:10" s="367" customFormat="1" ht="22.5" customHeight="1">
      <c r="A2557" s="395"/>
      <c r="B2557" s="401" t="s">
        <v>994</v>
      </c>
      <c r="C2557" s="397">
        <v>-7</v>
      </c>
      <c r="D2557" s="397">
        <v>1</v>
      </c>
      <c r="E2557" s="397">
        <v>2</v>
      </c>
      <c r="F2557" s="410">
        <v>2.6</v>
      </c>
      <c r="G2557" s="410">
        <v>1.9</v>
      </c>
      <c r="H2557" s="398" t="s">
        <v>26</v>
      </c>
      <c r="I2557" s="399">
        <f t="shared" ref="I2557:I2579" si="115">PRODUCT(C2557:H2557)</f>
        <v>-69.16</v>
      </c>
      <c r="J2557" s="396"/>
    </row>
    <row r="2558" spans="1:10" s="367" customFormat="1" ht="22.5" customHeight="1">
      <c r="A2558" s="395"/>
      <c r="B2558" s="401" t="s">
        <v>1331</v>
      </c>
      <c r="C2558" s="397">
        <v>-7</v>
      </c>
      <c r="D2558" s="397">
        <v>1</v>
      </c>
      <c r="E2558" s="397">
        <v>1</v>
      </c>
      <c r="F2558" s="410">
        <v>2.2999999999999998</v>
      </c>
      <c r="G2558" s="410">
        <v>3</v>
      </c>
      <c r="H2558" s="398" t="s">
        <v>26</v>
      </c>
      <c r="I2558" s="399">
        <f t="shared" si="115"/>
        <v>-48.3</v>
      </c>
      <c r="J2558" s="396"/>
    </row>
    <row r="2559" spans="1:10" s="367" customFormat="1" ht="22.5" customHeight="1">
      <c r="A2559" s="395"/>
      <c r="B2559" s="401" t="s">
        <v>1401</v>
      </c>
      <c r="C2559" s="397">
        <v>-7</v>
      </c>
      <c r="D2559" s="397">
        <v>1</v>
      </c>
      <c r="E2559" s="397">
        <v>6</v>
      </c>
      <c r="F2559" s="410">
        <v>3.1</v>
      </c>
      <c r="G2559" s="410">
        <v>1.9</v>
      </c>
      <c r="H2559" s="410" t="s">
        <v>26</v>
      </c>
      <c r="I2559" s="399">
        <f t="shared" si="115"/>
        <v>-247.38</v>
      </c>
      <c r="J2559" s="396"/>
    </row>
    <row r="2560" spans="1:10" s="367" customFormat="1" ht="22.5" customHeight="1">
      <c r="A2560" s="395"/>
      <c r="B2560" s="401" t="s">
        <v>1401</v>
      </c>
      <c r="C2560" s="397">
        <v>-7</v>
      </c>
      <c r="D2560" s="397">
        <v>1</v>
      </c>
      <c r="E2560" s="397">
        <v>2</v>
      </c>
      <c r="F2560" s="410">
        <v>2.5</v>
      </c>
      <c r="G2560" s="410">
        <v>1.9</v>
      </c>
      <c r="H2560" s="410" t="s">
        <v>26</v>
      </c>
      <c r="I2560" s="399">
        <f t="shared" si="115"/>
        <v>-66.5</v>
      </c>
      <c r="J2560" s="396"/>
    </row>
    <row r="2561" spans="1:10" s="367" customFormat="1" ht="22.5" customHeight="1">
      <c r="A2561" s="395"/>
      <c r="B2561" s="401" t="s">
        <v>1401</v>
      </c>
      <c r="C2561" s="397">
        <v>-7</v>
      </c>
      <c r="D2561" s="397">
        <v>1</v>
      </c>
      <c r="E2561" s="397">
        <v>2</v>
      </c>
      <c r="F2561" s="410">
        <v>1.86</v>
      </c>
      <c r="G2561" s="410">
        <v>1.9</v>
      </c>
      <c r="H2561" s="410" t="s">
        <v>26</v>
      </c>
      <c r="I2561" s="399">
        <f t="shared" si="115"/>
        <v>-49.48</v>
      </c>
      <c r="J2561" s="396"/>
    </row>
    <row r="2562" spans="1:10" s="367" customFormat="1" ht="22.5" customHeight="1">
      <c r="A2562" s="395"/>
      <c r="B2562" s="401" t="s">
        <v>1401</v>
      </c>
      <c r="C2562" s="397">
        <v>-7</v>
      </c>
      <c r="D2562" s="397">
        <v>1</v>
      </c>
      <c r="E2562" s="397">
        <v>2</v>
      </c>
      <c r="F2562" s="410">
        <v>1.23</v>
      </c>
      <c r="G2562" s="410">
        <v>0.67</v>
      </c>
      <c r="H2562" s="410" t="s">
        <v>26</v>
      </c>
      <c r="I2562" s="399">
        <f t="shared" si="115"/>
        <v>-11.54</v>
      </c>
      <c r="J2562" s="396"/>
    </row>
    <row r="2563" spans="1:10" s="367" customFormat="1" ht="22.5" customHeight="1">
      <c r="A2563" s="395"/>
      <c r="B2563" s="401" t="s">
        <v>1401</v>
      </c>
      <c r="C2563" s="397">
        <v>-7</v>
      </c>
      <c r="D2563" s="410">
        <v>0.5</v>
      </c>
      <c r="E2563" s="397">
        <v>2</v>
      </c>
      <c r="F2563" s="410">
        <v>0.67</v>
      </c>
      <c r="G2563" s="410">
        <v>0.67</v>
      </c>
      <c r="H2563" s="410" t="s">
        <v>26</v>
      </c>
      <c r="I2563" s="399">
        <f t="shared" si="115"/>
        <v>-3.14</v>
      </c>
      <c r="J2563" s="396"/>
    </row>
    <row r="2564" spans="1:10" s="367" customFormat="1" ht="22.5" customHeight="1">
      <c r="A2564" s="395"/>
      <c r="B2564" s="401" t="s">
        <v>1402</v>
      </c>
      <c r="C2564" s="397">
        <v>-7</v>
      </c>
      <c r="D2564" s="397">
        <v>1</v>
      </c>
      <c r="E2564" s="397">
        <v>10</v>
      </c>
      <c r="F2564" s="410">
        <v>1.66</v>
      </c>
      <c r="G2564" s="398">
        <v>1.4450000000000001</v>
      </c>
      <c r="H2564" s="410" t="s">
        <v>26</v>
      </c>
      <c r="I2564" s="399">
        <f t="shared" si="115"/>
        <v>-167.91</v>
      </c>
      <c r="J2564" s="396"/>
    </row>
    <row r="2565" spans="1:10" s="367" customFormat="1" ht="22.5" customHeight="1">
      <c r="A2565" s="395"/>
      <c r="B2565" s="401" t="s">
        <v>971</v>
      </c>
      <c r="C2565" s="397">
        <v>-7</v>
      </c>
      <c r="D2565" s="397">
        <v>1</v>
      </c>
      <c r="E2565" s="397">
        <v>2</v>
      </c>
      <c r="F2565" s="398">
        <v>0.97</v>
      </c>
      <c r="G2565" s="398">
        <v>0.93500000000000005</v>
      </c>
      <c r="H2565" s="410" t="s">
        <v>26</v>
      </c>
      <c r="I2565" s="399">
        <f t="shared" si="115"/>
        <v>-12.7</v>
      </c>
      <c r="J2565" s="396"/>
    </row>
    <row r="2566" spans="1:10" s="367" customFormat="1" ht="22.5" customHeight="1">
      <c r="A2566" s="395"/>
      <c r="B2566" s="401" t="s">
        <v>1403</v>
      </c>
      <c r="C2566" s="397">
        <v>-7</v>
      </c>
      <c r="D2566" s="397">
        <v>1</v>
      </c>
      <c r="E2566" s="397">
        <v>2</v>
      </c>
      <c r="F2566" s="398">
        <v>0.69499999999999995</v>
      </c>
      <c r="G2566" s="398">
        <v>0.93500000000000005</v>
      </c>
      <c r="H2566" s="410" t="s">
        <v>26</v>
      </c>
      <c r="I2566" s="399">
        <f t="shared" si="115"/>
        <v>-9.1</v>
      </c>
      <c r="J2566" s="396"/>
    </row>
    <row r="2567" spans="1:10" s="367" customFormat="1" ht="22.5" customHeight="1">
      <c r="A2567" s="395"/>
      <c r="B2567" s="401" t="s">
        <v>1403</v>
      </c>
      <c r="C2567" s="397">
        <v>-7</v>
      </c>
      <c r="D2567" s="397">
        <v>1</v>
      </c>
      <c r="E2567" s="397">
        <v>4</v>
      </c>
      <c r="F2567" s="398">
        <v>0.75</v>
      </c>
      <c r="G2567" s="398">
        <v>0.63500000000000001</v>
      </c>
      <c r="H2567" s="410" t="s">
        <v>26</v>
      </c>
      <c r="I2567" s="399">
        <f t="shared" si="115"/>
        <v>-13.34</v>
      </c>
      <c r="J2567" s="396"/>
    </row>
    <row r="2568" spans="1:10" s="367" customFormat="1" ht="22.5" customHeight="1">
      <c r="A2568" s="395"/>
      <c r="B2568" s="401" t="s">
        <v>1403</v>
      </c>
      <c r="C2568" s="397">
        <v>-7</v>
      </c>
      <c r="D2568" s="397">
        <v>1</v>
      </c>
      <c r="E2568" s="397">
        <v>2</v>
      </c>
      <c r="F2568" s="398">
        <v>0.75</v>
      </c>
      <c r="G2568" s="398">
        <v>1.1499999999999999</v>
      </c>
      <c r="H2568" s="410" t="s">
        <v>26</v>
      </c>
      <c r="I2568" s="399">
        <f t="shared" si="115"/>
        <v>-12.08</v>
      </c>
      <c r="J2568" s="396"/>
    </row>
    <row r="2569" spans="1:10" s="367" customFormat="1" ht="22.5" customHeight="1">
      <c r="A2569" s="395"/>
      <c r="B2569" s="401" t="s">
        <v>1403</v>
      </c>
      <c r="C2569" s="397">
        <v>-7</v>
      </c>
      <c r="D2569" s="397">
        <v>1</v>
      </c>
      <c r="E2569" s="397">
        <v>2</v>
      </c>
      <c r="F2569" s="398">
        <v>0.63500000000000001</v>
      </c>
      <c r="G2569" s="398">
        <v>1.0049999999999999</v>
      </c>
      <c r="H2569" s="410" t="s">
        <v>26</v>
      </c>
      <c r="I2569" s="399">
        <f t="shared" si="115"/>
        <v>-8.93</v>
      </c>
      <c r="J2569" s="396"/>
    </row>
    <row r="2570" spans="1:10" s="367" customFormat="1" ht="22.5" customHeight="1">
      <c r="A2570" s="395"/>
      <c r="B2570" s="401" t="s">
        <v>1404</v>
      </c>
      <c r="C2570" s="397">
        <v>-7</v>
      </c>
      <c r="D2570" s="397">
        <v>1</v>
      </c>
      <c r="E2570" s="397">
        <v>2</v>
      </c>
      <c r="F2570" s="398">
        <v>0.63500000000000001</v>
      </c>
      <c r="G2570" s="398">
        <v>0.89500000000000002</v>
      </c>
      <c r="H2570" s="410" t="s">
        <v>26</v>
      </c>
      <c r="I2570" s="399">
        <f t="shared" si="115"/>
        <v>-7.96</v>
      </c>
      <c r="J2570" s="396"/>
    </row>
    <row r="2571" spans="1:10" s="367" customFormat="1" ht="22.5" customHeight="1">
      <c r="A2571" s="395"/>
      <c r="B2571" s="401" t="s">
        <v>1405</v>
      </c>
      <c r="C2571" s="397">
        <v>-7</v>
      </c>
      <c r="D2571" s="397">
        <v>1</v>
      </c>
      <c r="E2571" s="397">
        <v>2</v>
      </c>
      <c r="F2571" s="398">
        <v>1.155</v>
      </c>
      <c r="G2571" s="398">
        <v>1.1499999999999999</v>
      </c>
      <c r="H2571" s="410" t="s">
        <v>26</v>
      </c>
      <c r="I2571" s="399">
        <f t="shared" si="115"/>
        <v>-18.600000000000001</v>
      </c>
      <c r="J2571" s="396"/>
    </row>
    <row r="2572" spans="1:10" s="367" customFormat="1" ht="22.5" customHeight="1">
      <c r="A2572" s="395"/>
      <c r="B2572" s="401" t="s">
        <v>940</v>
      </c>
      <c r="C2572" s="397">
        <v>-7</v>
      </c>
      <c r="D2572" s="397">
        <v>1</v>
      </c>
      <c r="E2572" s="397">
        <v>2</v>
      </c>
      <c r="F2572" s="410">
        <v>2.85</v>
      </c>
      <c r="G2572" s="410">
        <v>4.2</v>
      </c>
      <c r="H2572" s="398" t="s">
        <v>26</v>
      </c>
      <c r="I2572" s="399">
        <f t="shared" si="115"/>
        <v>-167.58</v>
      </c>
      <c r="J2572" s="396"/>
    </row>
    <row r="2573" spans="1:10" s="367" customFormat="1" ht="22.5" customHeight="1">
      <c r="A2573" s="395"/>
      <c r="B2573" s="401" t="s">
        <v>1425</v>
      </c>
      <c r="C2573" s="397">
        <v>-7</v>
      </c>
      <c r="D2573" s="397">
        <v>1</v>
      </c>
      <c r="E2573" s="397">
        <v>1</v>
      </c>
      <c r="F2573" s="410">
        <v>4.22</v>
      </c>
      <c r="G2573" s="410">
        <v>3.53</v>
      </c>
      <c r="H2573" s="398" t="s">
        <v>26</v>
      </c>
      <c r="I2573" s="399">
        <f t="shared" si="115"/>
        <v>-104.28</v>
      </c>
      <c r="J2573" s="396"/>
    </row>
    <row r="2574" spans="1:10" s="367" customFormat="1" ht="22.5" customHeight="1">
      <c r="A2574" s="395"/>
      <c r="B2574" s="401" t="s">
        <v>1406</v>
      </c>
      <c r="C2574" s="397">
        <v>-7</v>
      </c>
      <c r="D2574" s="397">
        <v>1</v>
      </c>
      <c r="E2574" s="397">
        <v>2</v>
      </c>
      <c r="F2574" s="410">
        <v>1.9</v>
      </c>
      <c r="G2574" s="410">
        <v>5.23</v>
      </c>
      <c r="H2574" s="398" t="s">
        <v>26</v>
      </c>
      <c r="I2574" s="399">
        <f t="shared" si="115"/>
        <v>-139.12</v>
      </c>
      <c r="J2574" s="396"/>
    </row>
    <row r="2575" spans="1:10" s="367" customFormat="1" ht="22.5" customHeight="1">
      <c r="A2575" s="395"/>
      <c r="B2575" s="401" t="s">
        <v>1406</v>
      </c>
      <c r="C2575" s="397">
        <v>-7</v>
      </c>
      <c r="D2575" s="531">
        <v>0.5</v>
      </c>
      <c r="E2575" s="397">
        <v>2</v>
      </c>
      <c r="F2575" s="410">
        <v>1.25</v>
      </c>
      <c r="G2575" s="410">
        <v>1.84</v>
      </c>
      <c r="H2575" s="398" t="s">
        <v>26</v>
      </c>
      <c r="I2575" s="399">
        <f t="shared" si="115"/>
        <v>-16.100000000000001</v>
      </c>
      <c r="J2575" s="396"/>
    </row>
    <row r="2576" spans="1:10" s="367" customFormat="1" ht="16.5">
      <c r="A2576" s="395"/>
      <c r="B2576" s="401" t="s">
        <v>1502</v>
      </c>
      <c r="C2576" s="397">
        <v>-7</v>
      </c>
      <c r="D2576" s="397">
        <v>1</v>
      </c>
      <c r="E2576" s="397">
        <v>2</v>
      </c>
      <c r="F2576" s="410">
        <v>9.1300000000000008</v>
      </c>
      <c r="G2576" s="410">
        <v>3.65</v>
      </c>
      <c r="H2576" s="398" t="s">
        <v>26</v>
      </c>
      <c r="I2576" s="399">
        <f t="shared" si="115"/>
        <v>-466.54</v>
      </c>
      <c r="J2576" s="396"/>
    </row>
    <row r="2577" spans="1:10" s="368" customFormat="1" ht="22.5" customHeight="1">
      <c r="A2577" s="395"/>
      <c r="B2577" s="401" t="s">
        <v>1503</v>
      </c>
      <c r="C2577" s="397">
        <v>-7</v>
      </c>
      <c r="D2577" s="397">
        <v>1</v>
      </c>
      <c r="E2577" s="397">
        <v>2</v>
      </c>
      <c r="F2577" s="410">
        <v>5.28</v>
      </c>
      <c r="G2577" s="410">
        <v>1.43</v>
      </c>
      <c r="H2577" s="398" t="s">
        <v>26</v>
      </c>
      <c r="I2577" s="399">
        <f t="shared" si="115"/>
        <v>-105.71</v>
      </c>
      <c r="J2577" s="396"/>
    </row>
    <row r="2578" spans="1:10" s="368" customFormat="1" ht="32.25" customHeight="1">
      <c r="A2578" s="395"/>
      <c r="B2578" s="401" t="s">
        <v>1504</v>
      </c>
      <c r="C2578" s="397">
        <v>-7</v>
      </c>
      <c r="D2578" s="397">
        <v>1</v>
      </c>
      <c r="E2578" s="397">
        <v>2</v>
      </c>
      <c r="F2578" s="410">
        <v>3.7</v>
      </c>
      <c r="G2578" s="410">
        <v>9.1300000000000008</v>
      </c>
      <c r="H2578" s="398" t="s">
        <v>26</v>
      </c>
      <c r="I2578" s="399">
        <f t="shared" si="115"/>
        <v>-472.93</v>
      </c>
      <c r="J2578" s="396"/>
    </row>
    <row r="2579" spans="1:10" s="367" customFormat="1" ht="22.5" customHeight="1">
      <c r="A2579" s="395"/>
      <c r="B2579" s="401" t="s">
        <v>1505</v>
      </c>
      <c r="C2579" s="397">
        <v>-7</v>
      </c>
      <c r="D2579" s="397">
        <v>1</v>
      </c>
      <c r="E2579" s="397">
        <v>2</v>
      </c>
      <c r="F2579" s="410">
        <v>2.8</v>
      </c>
      <c r="G2579" s="410">
        <v>7.96</v>
      </c>
      <c r="H2579" s="398" t="s">
        <v>26</v>
      </c>
      <c r="I2579" s="399">
        <f t="shared" si="115"/>
        <v>-312.02999999999997</v>
      </c>
      <c r="J2579" s="396"/>
    </row>
    <row r="2580" spans="1:10" s="367" customFormat="1" ht="22.5" customHeight="1">
      <c r="A2580" s="395"/>
      <c r="B2580" s="396" t="s">
        <v>1506</v>
      </c>
      <c r="C2580" s="397"/>
      <c r="D2580" s="397"/>
      <c r="E2580" s="397"/>
      <c r="F2580" s="410"/>
      <c r="G2580" s="410"/>
      <c r="H2580" s="398"/>
      <c r="I2580" s="399"/>
      <c r="J2580" s="396"/>
    </row>
    <row r="2581" spans="1:10" s="367" customFormat="1" ht="22.5" customHeight="1">
      <c r="A2581" s="395"/>
      <c r="B2581" s="401" t="s">
        <v>1507</v>
      </c>
      <c r="C2581" s="397">
        <v>7</v>
      </c>
      <c r="D2581" s="397">
        <v>1</v>
      </c>
      <c r="E2581" s="397">
        <v>2</v>
      </c>
      <c r="F2581" s="410">
        <v>2.7</v>
      </c>
      <c r="G2581" s="410">
        <v>1.35</v>
      </c>
      <c r="H2581" s="398" t="s">
        <v>26</v>
      </c>
      <c r="I2581" s="399">
        <f t="shared" ref="I2581:I2587" si="116">PRODUCT(C2581:H2581)</f>
        <v>51.03</v>
      </c>
      <c r="J2581" s="396"/>
    </row>
    <row r="2582" spans="1:10" s="367" customFormat="1" ht="22.5" customHeight="1">
      <c r="A2582" s="395"/>
      <c r="B2582" s="401" t="s">
        <v>1508</v>
      </c>
      <c r="C2582" s="397">
        <v>7</v>
      </c>
      <c r="D2582" s="397">
        <v>1</v>
      </c>
      <c r="E2582" s="397">
        <v>2</v>
      </c>
      <c r="F2582" s="410">
        <v>3.31</v>
      </c>
      <c r="G2582" s="410">
        <v>1.73</v>
      </c>
      <c r="H2582" s="398" t="s">
        <v>26</v>
      </c>
      <c r="I2582" s="399">
        <f t="shared" si="116"/>
        <v>80.17</v>
      </c>
      <c r="J2582" s="396"/>
    </row>
    <row r="2583" spans="1:10" s="367" customFormat="1" ht="22.5" customHeight="1">
      <c r="A2583" s="395"/>
      <c r="B2583" s="401" t="s">
        <v>1509</v>
      </c>
      <c r="C2583" s="397">
        <v>7</v>
      </c>
      <c r="D2583" s="397">
        <v>1</v>
      </c>
      <c r="E2583" s="397">
        <v>2</v>
      </c>
      <c r="F2583" s="410">
        <v>3</v>
      </c>
      <c r="G2583" s="410">
        <v>1.35</v>
      </c>
      <c r="H2583" s="398" t="s">
        <v>26</v>
      </c>
      <c r="I2583" s="399">
        <f t="shared" si="116"/>
        <v>56.7</v>
      </c>
      <c r="J2583" s="396"/>
    </row>
    <row r="2584" spans="1:10" s="367" customFormat="1" ht="22.5" customHeight="1">
      <c r="A2584" s="395"/>
      <c r="B2584" s="401" t="s">
        <v>1510</v>
      </c>
      <c r="C2584" s="397">
        <v>7</v>
      </c>
      <c r="D2584" s="397">
        <v>1</v>
      </c>
      <c r="E2584" s="397">
        <v>2</v>
      </c>
      <c r="F2584" s="410">
        <v>6.77</v>
      </c>
      <c r="G2584" s="410" t="s">
        <v>26</v>
      </c>
      <c r="H2584" s="398">
        <v>0.3</v>
      </c>
      <c r="I2584" s="399">
        <f t="shared" si="116"/>
        <v>28.43</v>
      </c>
      <c r="J2584" s="396"/>
    </row>
    <row r="2585" spans="1:10" s="367" customFormat="1" ht="22.5" customHeight="1">
      <c r="A2585" s="395"/>
      <c r="B2585" s="401" t="s">
        <v>1511</v>
      </c>
      <c r="C2585" s="397">
        <v>7</v>
      </c>
      <c r="D2585" s="397">
        <v>1</v>
      </c>
      <c r="E2585" s="397">
        <v>2</v>
      </c>
      <c r="F2585" s="410">
        <v>5.85</v>
      </c>
      <c r="G2585" s="410" t="s">
        <v>26</v>
      </c>
      <c r="H2585" s="398">
        <v>0.15</v>
      </c>
      <c r="I2585" s="399">
        <f t="shared" si="116"/>
        <v>12.29</v>
      </c>
      <c r="J2585" s="396"/>
    </row>
    <row r="2586" spans="1:10" s="367" customFormat="1" ht="22.5" customHeight="1">
      <c r="A2586" s="395"/>
      <c r="B2586" s="401" t="s">
        <v>528</v>
      </c>
      <c r="C2586" s="397">
        <v>7</v>
      </c>
      <c r="D2586" s="397">
        <v>1</v>
      </c>
      <c r="E2586" s="397">
        <v>18</v>
      </c>
      <c r="F2586" s="410">
        <v>1.35</v>
      </c>
      <c r="G2586" s="410" t="s">
        <v>26</v>
      </c>
      <c r="H2586" s="398">
        <v>0.15</v>
      </c>
      <c r="I2586" s="399">
        <f t="shared" si="116"/>
        <v>25.52</v>
      </c>
      <c r="J2586" s="396"/>
    </row>
    <row r="2587" spans="1:10" s="367" customFormat="1" ht="22.5" customHeight="1">
      <c r="A2587" s="395"/>
      <c r="B2587" s="401" t="s">
        <v>528</v>
      </c>
      <c r="C2587" s="397">
        <v>7</v>
      </c>
      <c r="D2587" s="397">
        <v>2</v>
      </c>
      <c r="E2587" s="397">
        <v>18</v>
      </c>
      <c r="F2587" s="410">
        <v>0.5</v>
      </c>
      <c r="G2587" s="410">
        <v>0.3</v>
      </c>
      <c r="H2587" s="398">
        <v>0.15</v>
      </c>
      <c r="I2587" s="399">
        <f t="shared" si="116"/>
        <v>5.67</v>
      </c>
      <c r="J2587" s="396"/>
    </row>
    <row r="2588" spans="1:10" s="367" customFormat="1" ht="22.5" customHeight="1">
      <c r="A2588" s="395"/>
      <c r="B2588" s="396" t="s">
        <v>944</v>
      </c>
      <c r="C2588" s="397"/>
      <c r="D2588" s="397"/>
      <c r="E2588" s="397"/>
      <c r="F2588" s="410"/>
      <c r="G2588" s="410"/>
      <c r="H2588" s="398"/>
      <c r="I2588" s="399"/>
      <c r="J2588" s="396"/>
    </row>
    <row r="2589" spans="1:10" s="367" customFormat="1" ht="22.5" customHeight="1">
      <c r="A2589" s="395"/>
      <c r="B2589" s="401" t="s">
        <v>303</v>
      </c>
      <c r="C2589" s="397">
        <v>-7</v>
      </c>
      <c r="D2589" s="397">
        <v>2</v>
      </c>
      <c r="E2589" s="397">
        <v>2</v>
      </c>
      <c r="F2589" s="410">
        <v>0.45</v>
      </c>
      <c r="G2589" s="410">
        <v>0.23</v>
      </c>
      <c r="H2589" s="398" t="s">
        <v>26</v>
      </c>
      <c r="I2589" s="399">
        <f>PRODUCT(C2589:H2589)</f>
        <v>-2.9</v>
      </c>
      <c r="J2589" s="396"/>
    </row>
    <row r="2590" spans="1:10" s="367" customFormat="1" ht="22.5" customHeight="1">
      <c r="A2590" s="395"/>
      <c r="B2590" s="396" t="s">
        <v>1512</v>
      </c>
      <c r="C2590" s="397"/>
      <c r="D2590" s="397"/>
      <c r="E2590" s="397"/>
      <c r="F2590" s="410"/>
      <c r="G2590" s="410"/>
      <c r="H2590" s="398"/>
      <c r="I2590" s="399"/>
      <c r="J2590" s="396"/>
    </row>
    <row r="2591" spans="1:10" s="367" customFormat="1" ht="22.5" customHeight="1">
      <c r="A2591" s="395"/>
      <c r="B2591" s="401" t="s">
        <v>1507</v>
      </c>
      <c r="C2591" s="397">
        <v>7</v>
      </c>
      <c r="D2591" s="397">
        <v>1</v>
      </c>
      <c r="E2591" s="397">
        <v>1</v>
      </c>
      <c r="F2591" s="410">
        <v>3</v>
      </c>
      <c r="G2591" s="410">
        <v>1.5</v>
      </c>
      <c r="H2591" s="398" t="s">
        <v>26</v>
      </c>
      <c r="I2591" s="399">
        <f t="shared" ref="I2591:I2597" si="117">PRODUCT(C2591:H2591)</f>
        <v>31.5</v>
      </c>
      <c r="J2591" s="396"/>
    </row>
    <row r="2592" spans="1:10" s="367" customFormat="1" ht="22.5" customHeight="1">
      <c r="A2592" s="395"/>
      <c r="B2592" s="401" t="s">
        <v>1508</v>
      </c>
      <c r="C2592" s="397">
        <v>7</v>
      </c>
      <c r="D2592" s="397">
        <v>1</v>
      </c>
      <c r="E2592" s="397">
        <v>1</v>
      </c>
      <c r="F2592" s="410">
        <v>3.99</v>
      </c>
      <c r="G2592" s="410">
        <v>1.73</v>
      </c>
      <c r="H2592" s="398" t="s">
        <v>26</v>
      </c>
      <c r="I2592" s="399">
        <f t="shared" si="117"/>
        <v>48.32</v>
      </c>
      <c r="J2592" s="396"/>
    </row>
    <row r="2593" spans="1:10" s="367" customFormat="1" ht="22.5" customHeight="1">
      <c r="A2593" s="395"/>
      <c r="B2593" s="401" t="s">
        <v>1509</v>
      </c>
      <c r="C2593" s="397">
        <v>7</v>
      </c>
      <c r="D2593" s="397">
        <v>1</v>
      </c>
      <c r="E2593" s="397">
        <v>1</v>
      </c>
      <c r="F2593" s="410">
        <v>2.7</v>
      </c>
      <c r="G2593" s="410">
        <v>1.35</v>
      </c>
      <c r="H2593" s="398" t="s">
        <v>26</v>
      </c>
      <c r="I2593" s="399">
        <f t="shared" si="117"/>
        <v>25.52</v>
      </c>
      <c r="J2593" s="396"/>
    </row>
    <row r="2594" spans="1:10" s="367" customFormat="1" ht="22.5" customHeight="1">
      <c r="A2594" s="395"/>
      <c r="B2594" s="401" t="s">
        <v>1510</v>
      </c>
      <c r="C2594" s="397">
        <v>7</v>
      </c>
      <c r="D2594" s="397">
        <v>1</v>
      </c>
      <c r="E2594" s="397">
        <v>1</v>
      </c>
      <c r="F2594" s="410">
        <v>7.45</v>
      </c>
      <c r="G2594" s="410" t="s">
        <v>26</v>
      </c>
      <c r="H2594" s="398">
        <v>0.3</v>
      </c>
      <c r="I2594" s="399">
        <f t="shared" si="117"/>
        <v>15.65</v>
      </c>
      <c r="J2594" s="396"/>
    </row>
    <row r="2595" spans="1:10" s="367" customFormat="1" ht="22.5" customHeight="1">
      <c r="A2595" s="395"/>
      <c r="B2595" s="401" t="s">
        <v>1511</v>
      </c>
      <c r="C2595" s="397">
        <v>7</v>
      </c>
      <c r="D2595" s="397">
        <v>1</v>
      </c>
      <c r="E2595" s="397">
        <v>1</v>
      </c>
      <c r="F2595" s="410">
        <v>6.53</v>
      </c>
      <c r="G2595" s="410" t="s">
        <v>26</v>
      </c>
      <c r="H2595" s="398">
        <v>0.15</v>
      </c>
      <c r="I2595" s="399">
        <f t="shared" si="117"/>
        <v>6.86</v>
      </c>
      <c r="J2595" s="396"/>
    </row>
    <row r="2596" spans="1:10" s="367" customFormat="1" ht="22.5" customHeight="1">
      <c r="A2596" s="395"/>
      <c r="B2596" s="401" t="s">
        <v>528</v>
      </c>
      <c r="C2596" s="397">
        <v>7</v>
      </c>
      <c r="D2596" s="397">
        <v>1</v>
      </c>
      <c r="E2596" s="397">
        <v>18</v>
      </c>
      <c r="F2596" s="410">
        <v>1.5</v>
      </c>
      <c r="G2596" s="410" t="s">
        <v>26</v>
      </c>
      <c r="H2596" s="398">
        <v>0.15</v>
      </c>
      <c r="I2596" s="399">
        <f t="shared" si="117"/>
        <v>28.35</v>
      </c>
      <c r="J2596" s="396"/>
    </row>
    <row r="2597" spans="1:10" s="367" customFormat="1" ht="22.5" customHeight="1">
      <c r="A2597" s="395"/>
      <c r="B2597" s="401" t="s">
        <v>528</v>
      </c>
      <c r="C2597" s="397">
        <v>7</v>
      </c>
      <c r="D2597" s="397">
        <v>2</v>
      </c>
      <c r="E2597" s="397">
        <v>18</v>
      </c>
      <c r="F2597" s="410">
        <v>0.5</v>
      </c>
      <c r="G2597" s="410">
        <v>0.3</v>
      </c>
      <c r="H2597" s="398">
        <v>0.15</v>
      </c>
      <c r="I2597" s="399">
        <f t="shared" si="117"/>
        <v>5.67</v>
      </c>
      <c r="J2597" s="396"/>
    </row>
    <row r="2598" spans="1:10" s="367" customFormat="1" ht="22.5" customHeight="1">
      <c r="A2598" s="395"/>
      <c r="B2598" s="396" t="s">
        <v>944</v>
      </c>
      <c r="C2598" s="397"/>
      <c r="D2598" s="397"/>
      <c r="E2598" s="397"/>
      <c r="F2598" s="410"/>
      <c r="G2598" s="410"/>
      <c r="H2598" s="398"/>
      <c r="I2598" s="399"/>
      <c r="J2598" s="396"/>
    </row>
    <row r="2599" spans="1:10" s="367" customFormat="1" ht="22.5" customHeight="1">
      <c r="A2599" s="395"/>
      <c r="B2599" s="401" t="s">
        <v>303</v>
      </c>
      <c r="C2599" s="397">
        <v>-7</v>
      </c>
      <c r="D2599" s="397">
        <v>2</v>
      </c>
      <c r="E2599" s="397">
        <v>2</v>
      </c>
      <c r="F2599" s="410">
        <v>0.45</v>
      </c>
      <c r="G2599" s="410">
        <v>0.23</v>
      </c>
      <c r="H2599" s="398" t="s">
        <v>26</v>
      </c>
      <c r="I2599" s="399">
        <f>PRODUCT(C2599:H2599)</f>
        <v>-2.9</v>
      </c>
      <c r="J2599" s="396"/>
    </row>
    <row r="2600" spans="1:10" s="367" customFormat="1" ht="22.5" customHeight="1">
      <c r="A2600" s="395"/>
      <c r="B2600" s="396" t="s">
        <v>1513</v>
      </c>
      <c r="C2600" s="397"/>
      <c r="D2600" s="397"/>
      <c r="E2600" s="397"/>
      <c r="F2600" s="410"/>
      <c r="G2600" s="410"/>
      <c r="H2600" s="410"/>
      <c r="I2600" s="399"/>
      <c r="J2600" s="396"/>
    </row>
    <row r="2601" spans="1:10" s="367" customFormat="1" ht="22.5" customHeight="1">
      <c r="A2601" s="410"/>
      <c r="B2601" s="401" t="s">
        <v>1449</v>
      </c>
      <c r="C2601" s="397">
        <v>7</v>
      </c>
      <c r="D2601" s="397">
        <v>2</v>
      </c>
      <c r="E2601" s="397">
        <v>10</v>
      </c>
      <c r="F2601" s="410">
        <v>1.96</v>
      </c>
      <c r="G2601" s="410" t="s">
        <v>26</v>
      </c>
      <c r="H2601" s="410">
        <v>0.05</v>
      </c>
      <c r="I2601" s="399">
        <f t="shared" ref="I2601:I2615" si="118">PRODUCT(C2601:H2601)</f>
        <v>13.72</v>
      </c>
      <c r="J2601" s="401"/>
    </row>
    <row r="2602" spans="1:10" s="367" customFormat="1" ht="22.5" customHeight="1">
      <c r="A2602" s="410"/>
      <c r="B2602" s="401" t="s">
        <v>1450</v>
      </c>
      <c r="C2602" s="397">
        <v>7</v>
      </c>
      <c r="D2602" s="397">
        <v>2</v>
      </c>
      <c r="E2602" s="397">
        <v>10</v>
      </c>
      <c r="F2602" s="410">
        <v>1.56</v>
      </c>
      <c r="G2602" s="410" t="s">
        <v>26</v>
      </c>
      <c r="H2602" s="410">
        <v>0.05</v>
      </c>
      <c r="I2602" s="399">
        <f t="shared" si="118"/>
        <v>10.92</v>
      </c>
      <c r="J2602" s="401"/>
    </row>
    <row r="2603" spans="1:10" s="367" customFormat="1" ht="22.5" customHeight="1">
      <c r="A2603" s="410"/>
      <c r="B2603" s="401" t="s">
        <v>1440</v>
      </c>
      <c r="C2603" s="397">
        <v>7</v>
      </c>
      <c r="D2603" s="397">
        <v>2</v>
      </c>
      <c r="E2603" s="397">
        <v>10</v>
      </c>
      <c r="F2603" s="410">
        <v>2.2599999999999998</v>
      </c>
      <c r="G2603" s="410" t="s">
        <v>26</v>
      </c>
      <c r="H2603" s="410">
        <v>0.05</v>
      </c>
      <c r="I2603" s="399">
        <f t="shared" si="118"/>
        <v>15.82</v>
      </c>
      <c r="J2603" s="401"/>
    </row>
    <row r="2604" spans="1:10" s="367" customFormat="1" ht="22.5" customHeight="1">
      <c r="A2604" s="395"/>
      <c r="B2604" s="401" t="s">
        <v>1436</v>
      </c>
      <c r="C2604" s="397">
        <v>7</v>
      </c>
      <c r="D2604" s="397">
        <v>2</v>
      </c>
      <c r="E2604" s="397">
        <v>10</v>
      </c>
      <c r="F2604" s="410">
        <v>1.96</v>
      </c>
      <c r="G2604" s="410" t="s">
        <v>26</v>
      </c>
      <c r="H2604" s="410">
        <v>0.05</v>
      </c>
      <c r="I2604" s="399">
        <f t="shared" si="118"/>
        <v>13.72</v>
      </c>
      <c r="J2604" s="396"/>
    </row>
    <row r="2605" spans="1:10" s="367" customFormat="1" ht="22.5" customHeight="1">
      <c r="A2605" s="395"/>
      <c r="B2605" s="401" t="s">
        <v>1441</v>
      </c>
      <c r="C2605" s="397">
        <v>7</v>
      </c>
      <c r="D2605" s="397">
        <v>2</v>
      </c>
      <c r="E2605" s="397">
        <v>2</v>
      </c>
      <c r="F2605" s="410">
        <v>2.2599999999999998</v>
      </c>
      <c r="G2605" s="410" t="s">
        <v>26</v>
      </c>
      <c r="H2605" s="410">
        <v>0.05</v>
      </c>
      <c r="I2605" s="399">
        <f t="shared" si="118"/>
        <v>3.16</v>
      </c>
      <c r="J2605" s="396"/>
    </row>
    <row r="2606" spans="1:10" s="367" customFormat="1" ht="22.5" customHeight="1">
      <c r="A2606" s="395"/>
      <c r="B2606" s="401" t="s">
        <v>1437</v>
      </c>
      <c r="C2606" s="397">
        <v>7</v>
      </c>
      <c r="D2606" s="397">
        <v>2</v>
      </c>
      <c r="E2606" s="397">
        <v>4</v>
      </c>
      <c r="F2606" s="410">
        <v>1.66</v>
      </c>
      <c r="G2606" s="410" t="s">
        <v>26</v>
      </c>
      <c r="H2606" s="410">
        <v>0.05</v>
      </c>
      <c r="I2606" s="399">
        <f t="shared" si="118"/>
        <v>4.6500000000000004</v>
      </c>
      <c r="J2606" s="396"/>
    </row>
    <row r="2607" spans="1:10" s="367" customFormat="1" ht="22.5" customHeight="1">
      <c r="A2607" s="395"/>
      <c r="B2607" s="401" t="s">
        <v>1453</v>
      </c>
      <c r="C2607" s="397">
        <v>7</v>
      </c>
      <c r="D2607" s="397">
        <v>2</v>
      </c>
      <c r="E2607" s="397">
        <v>10</v>
      </c>
      <c r="F2607" s="410">
        <v>2.06</v>
      </c>
      <c r="G2607" s="410" t="s">
        <v>26</v>
      </c>
      <c r="H2607" s="410">
        <v>0.05</v>
      </c>
      <c r="I2607" s="399">
        <f t="shared" si="118"/>
        <v>14.42</v>
      </c>
      <c r="J2607" s="396"/>
    </row>
    <row r="2608" spans="1:10" s="367" customFormat="1" ht="22.5" customHeight="1">
      <c r="A2608" s="395"/>
      <c r="B2608" s="401" t="s">
        <v>1452</v>
      </c>
      <c r="C2608" s="397">
        <v>7</v>
      </c>
      <c r="D2608" s="397">
        <v>2</v>
      </c>
      <c r="E2608" s="397">
        <v>10</v>
      </c>
      <c r="F2608" s="410">
        <v>2.36</v>
      </c>
      <c r="G2608" s="410" t="s">
        <v>26</v>
      </c>
      <c r="H2608" s="410">
        <v>0.05</v>
      </c>
      <c r="I2608" s="399">
        <f t="shared" si="118"/>
        <v>16.52</v>
      </c>
      <c r="J2608" s="396"/>
    </row>
    <row r="2609" spans="1:10" s="367" customFormat="1" ht="22.5" customHeight="1">
      <c r="A2609" s="395"/>
      <c r="B2609" s="401" t="s">
        <v>1525</v>
      </c>
      <c r="C2609" s="397">
        <v>7</v>
      </c>
      <c r="D2609" s="397">
        <v>2</v>
      </c>
      <c r="E2609" s="397">
        <v>6</v>
      </c>
      <c r="F2609" s="410">
        <v>2.4</v>
      </c>
      <c r="G2609" s="410" t="s">
        <v>26</v>
      </c>
      <c r="H2609" s="410">
        <v>0.05</v>
      </c>
      <c r="I2609" s="399">
        <f t="shared" si="118"/>
        <v>10.08</v>
      </c>
      <c r="J2609" s="396"/>
    </row>
    <row r="2610" spans="1:10" s="367" customFormat="1" ht="22.5" customHeight="1">
      <c r="A2610" s="395"/>
      <c r="B2610" s="401" t="s">
        <v>1525</v>
      </c>
      <c r="C2610" s="397">
        <v>7</v>
      </c>
      <c r="D2610" s="397">
        <v>2</v>
      </c>
      <c r="E2610" s="397">
        <v>2</v>
      </c>
      <c r="F2610" s="410">
        <v>1.8</v>
      </c>
      <c r="G2610" s="410" t="s">
        <v>26</v>
      </c>
      <c r="H2610" s="410">
        <v>0.05</v>
      </c>
      <c r="I2610" s="399">
        <f t="shared" si="118"/>
        <v>2.52</v>
      </c>
      <c r="J2610" s="396"/>
    </row>
    <row r="2611" spans="1:10" s="367" customFormat="1" ht="22.5" customHeight="1">
      <c r="A2611" s="395"/>
      <c r="B2611" s="401" t="s">
        <v>1525</v>
      </c>
      <c r="C2611" s="397">
        <v>7</v>
      </c>
      <c r="D2611" s="397">
        <v>2</v>
      </c>
      <c r="E2611" s="397">
        <v>2</v>
      </c>
      <c r="F2611" s="410">
        <v>1.36</v>
      </c>
      <c r="G2611" s="410" t="s">
        <v>26</v>
      </c>
      <c r="H2611" s="410">
        <v>0.05</v>
      </c>
      <c r="I2611" s="399">
        <f t="shared" si="118"/>
        <v>1.9</v>
      </c>
      <c r="J2611" s="396"/>
    </row>
    <row r="2612" spans="1:10" s="367" customFormat="1" ht="22.5" customHeight="1">
      <c r="A2612" s="395"/>
      <c r="B2612" s="401" t="s">
        <v>1525</v>
      </c>
      <c r="C2612" s="397">
        <v>7</v>
      </c>
      <c r="D2612" s="397">
        <v>2</v>
      </c>
      <c r="E2612" s="397">
        <v>2</v>
      </c>
      <c r="F2612" s="410">
        <v>1.21</v>
      </c>
      <c r="G2612" s="410" t="s">
        <v>26</v>
      </c>
      <c r="H2612" s="410">
        <v>0.05</v>
      </c>
      <c r="I2612" s="399">
        <f t="shared" si="118"/>
        <v>1.69</v>
      </c>
      <c r="J2612" s="396"/>
    </row>
    <row r="2613" spans="1:10" s="367" customFormat="1" ht="22.5" customHeight="1">
      <c r="A2613" s="395"/>
      <c r="B2613" s="401" t="s">
        <v>1410</v>
      </c>
      <c r="C2613" s="397">
        <v>7</v>
      </c>
      <c r="D2613" s="397">
        <v>2</v>
      </c>
      <c r="E2613" s="397">
        <v>2</v>
      </c>
      <c r="F2613" s="410">
        <v>1.66</v>
      </c>
      <c r="G2613" s="410" t="s">
        <v>26</v>
      </c>
      <c r="H2613" s="410">
        <v>0.05</v>
      </c>
      <c r="I2613" s="399">
        <f t="shared" si="118"/>
        <v>2.3199999999999998</v>
      </c>
      <c r="J2613" s="396"/>
    </row>
    <row r="2614" spans="1:10" s="367" customFormat="1" ht="22.5" customHeight="1">
      <c r="A2614" s="395"/>
      <c r="B2614" s="401" t="s">
        <v>1459</v>
      </c>
      <c r="C2614" s="397">
        <v>7</v>
      </c>
      <c r="D2614" s="397">
        <v>1</v>
      </c>
      <c r="E2614" s="397">
        <v>2</v>
      </c>
      <c r="F2614" s="410">
        <v>2.86</v>
      </c>
      <c r="G2614" s="410" t="s">
        <v>26</v>
      </c>
      <c r="H2614" s="410">
        <v>0.05</v>
      </c>
      <c r="I2614" s="399">
        <f t="shared" si="118"/>
        <v>2</v>
      </c>
      <c r="J2614" s="396"/>
    </row>
    <row r="2615" spans="1:10" s="367" customFormat="1" ht="22.5" customHeight="1">
      <c r="A2615" s="395"/>
      <c r="B2615" s="401" t="s">
        <v>1459</v>
      </c>
      <c r="C2615" s="397">
        <v>7</v>
      </c>
      <c r="D2615" s="397">
        <v>1</v>
      </c>
      <c r="E2615" s="397">
        <v>2</v>
      </c>
      <c r="F2615" s="410">
        <v>3.46</v>
      </c>
      <c r="G2615" s="410" t="s">
        <v>26</v>
      </c>
      <c r="H2615" s="410">
        <v>0.05</v>
      </c>
      <c r="I2615" s="399">
        <f t="shared" si="118"/>
        <v>2.42</v>
      </c>
      <c r="J2615" s="396"/>
    </row>
    <row r="2616" spans="1:10" s="367" customFormat="1" ht="22.5" customHeight="1">
      <c r="A2616" s="395"/>
      <c r="B2616" s="396" t="s">
        <v>1515</v>
      </c>
      <c r="C2616" s="397"/>
      <c r="D2616" s="397"/>
      <c r="E2616" s="397"/>
      <c r="F2616" s="410"/>
      <c r="G2616" s="410"/>
      <c r="H2616" s="410"/>
      <c r="I2616" s="399"/>
      <c r="J2616" s="396"/>
    </row>
    <row r="2617" spans="1:10" s="367" customFormat="1" ht="22.5" customHeight="1">
      <c r="A2617" s="395"/>
      <c r="B2617" s="401" t="s">
        <v>1448</v>
      </c>
      <c r="C2617" s="397">
        <v>7</v>
      </c>
      <c r="D2617" s="397">
        <v>1</v>
      </c>
      <c r="E2617" s="397">
        <v>10</v>
      </c>
      <c r="F2617" s="410">
        <v>1</v>
      </c>
      <c r="G2617" s="410">
        <v>0.23</v>
      </c>
      <c r="H2617" s="410" t="s">
        <v>26</v>
      </c>
      <c r="I2617" s="399">
        <f t="shared" ref="I2617:I2629" si="119">PRODUCT(C2617:H2617)</f>
        <v>16.100000000000001</v>
      </c>
      <c r="J2617" s="396"/>
    </row>
    <row r="2618" spans="1:10" s="367" customFormat="1" ht="22.5" customHeight="1">
      <c r="A2618" s="395"/>
      <c r="B2618" s="401" t="s">
        <v>1442</v>
      </c>
      <c r="C2618" s="397">
        <v>7</v>
      </c>
      <c r="D2618" s="397">
        <v>1</v>
      </c>
      <c r="E2618" s="397">
        <v>10</v>
      </c>
      <c r="F2618" s="410">
        <v>1</v>
      </c>
      <c r="G2618" s="410">
        <v>0.23</v>
      </c>
      <c r="H2618" s="410" t="s">
        <v>26</v>
      </c>
      <c r="I2618" s="399">
        <f t="shared" si="119"/>
        <v>16.100000000000001</v>
      </c>
      <c r="J2618" s="396"/>
    </row>
    <row r="2619" spans="1:10" s="367" customFormat="1" ht="22.5" customHeight="1">
      <c r="A2619" s="395"/>
      <c r="B2619" s="401" t="s">
        <v>1526</v>
      </c>
      <c r="C2619" s="397">
        <v>7</v>
      </c>
      <c r="D2619" s="397">
        <v>1</v>
      </c>
      <c r="E2619" s="397">
        <v>10</v>
      </c>
      <c r="F2619" s="410">
        <v>0.75</v>
      </c>
      <c r="G2619" s="410">
        <v>0.12</v>
      </c>
      <c r="H2619" s="410" t="s">
        <v>26</v>
      </c>
      <c r="I2619" s="399">
        <f t="shared" si="119"/>
        <v>6.3</v>
      </c>
      <c r="J2619" s="396"/>
    </row>
    <row r="2620" spans="1:10" s="367" customFormat="1" ht="22.5" customHeight="1">
      <c r="A2620" s="395"/>
      <c r="B2620" s="401" t="s">
        <v>1526</v>
      </c>
      <c r="C2620" s="397">
        <v>7</v>
      </c>
      <c r="D2620" s="397">
        <v>1</v>
      </c>
      <c r="E2620" s="397">
        <v>10</v>
      </c>
      <c r="F2620" s="410">
        <v>1.1000000000000001</v>
      </c>
      <c r="G2620" s="410">
        <v>0.12</v>
      </c>
      <c r="H2620" s="410" t="s">
        <v>26</v>
      </c>
      <c r="I2620" s="399">
        <f t="shared" si="119"/>
        <v>9.24</v>
      </c>
      <c r="J2620" s="396"/>
    </row>
    <row r="2621" spans="1:10" s="367" customFormat="1" ht="22.5" customHeight="1">
      <c r="A2621" s="395"/>
      <c r="B2621" s="401" t="s">
        <v>1518</v>
      </c>
      <c r="C2621" s="397">
        <v>7</v>
      </c>
      <c r="D2621" s="397">
        <v>1</v>
      </c>
      <c r="E2621" s="397">
        <v>20</v>
      </c>
      <c r="F2621" s="410">
        <v>0.75</v>
      </c>
      <c r="G2621" s="410">
        <v>0.12</v>
      </c>
      <c r="H2621" s="410" t="s">
        <v>26</v>
      </c>
      <c r="I2621" s="399">
        <f t="shared" si="119"/>
        <v>12.6</v>
      </c>
      <c r="J2621" s="396"/>
    </row>
    <row r="2622" spans="1:10" s="367" customFormat="1" ht="22.5" customHeight="1">
      <c r="A2622" s="395"/>
      <c r="B2622" s="401" t="s">
        <v>1443</v>
      </c>
      <c r="C2622" s="397">
        <v>7</v>
      </c>
      <c r="D2622" s="397">
        <v>1</v>
      </c>
      <c r="E2622" s="397">
        <v>2</v>
      </c>
      <c r="F2622" s="410">
        <v>0.9</v>
      </c>
      <c r="G2622" s="410">
        <v>0.23</v>
      </c>
      <c r="H2622" s="410" t="s">
        <v>26</v>
      </c>
      <c r="I2622" s="399">
        <f t="shared" si="119"/>
        <v>2.9</v>
      </c>
      <c r="J2622" s="396"/>
    </row>
    <row r="2623" spans="1:10" s="367" customFormat="1" ht="22.5" customHeight="1">
      <c r="A2623" s="395"/>
      <c r="B2623" s="401" t="s">
        <v>1520</v>
      </c>
      <c r="C2623" s="397">
        <v>7</v>
      </c>
      <c r="D2623" s="397">
        <v>1</v>
      </c>
      <c r="E2623" s="397">
        <v>2</v>
      </c>
      <c r="F2623" s="410">
        <v>1</v>
      </c>
      <c r="G2623" s="410">
        <v>0.23</v>
      </c>
      <c r="H2623" s="410" t="s">
        <v>26</v>
      </c>
      <c r="I2623" s="399">
        <f t="shared" si="119"/>
        <v>3.22</v>
      </c>
      <c r="J2623" s="396"/>
    </row>
    <row r="2624" spans="1:10" s="367" customFormat="1" ht="22.5" customHeight="1">
      <c r="A2624" s="395"/>
      <c r="B2624" s="401" t="s">
        <v>1521</v>
      </c>
      <c r="C2624" s="397">
        <v>7</v>
      </c>
      <c r="D2624" s="397">
        <v>1</v>
      </c>
      <c r="E2624" s="397">
        <v>1</v>
      </c>
      <c r="F2624" s="410">
        <v>1.2</v>
      </c>
      <c r="G2624" s="410">
        <v>0.23</v>
      </c>
      <c r="H2624" s="410" t="s">
        <v>26</v>
      </c>
      <c r="I2624" s="399">
        <f t="shared" si="119"/>
        <v>1.93</v>
      </c>
      <c r="J2624" s="396"/>
    </row>
    <row r="2625" spans="1:10" s="367" customFormat="1" ht="22.5" customHeight="1">
      <c r="A2625" s="395"/>
      <c r="B2625" s="401" t="s">
        <v>1456</v>
      </c>
      <c r="C2625" s="397">
        <v>7</v>
      </c>
      <c r="D2625" s="397">
        <v>1</v>
      </c>
      <c r="E2625" s="397">
        <v>2</v>
      </c>
      <c r="F2625" s="410">
        <v>0.9</v>
      </c>
      <c r="G2625" s="410">
        <v>0.12</v>
      </c>
      <c r="H2625" s="410" t="s">
        <v>26</v>
      </c>
      <c r="I2625" s="399">
        <f t="shared" si="119"/>
        <v>1.51</v>
      </c>
      <c r="J2625" s="396"/>
    </row>
    <row r="2626" spans="1:10" s="367" customFormat="1" ht="22.5" customHeight="1">
      <c r="A2626" s="395"/>
      <c r="B2626" s="401" t="s">
        <v>1457</v>
      </c>
      <c r="C2626" s="397">
        <v>7</v>
      </c>
      <c r="D2626" s="397">
        <v>1</v>
      </c>
      <c r="E2626" s="397">
        <v>12</v>
      </c>
      <c r="F2626" s="410">
        <v>0.75</v>
      </c>
      <c r="G2626" s="410">
        <v>0.12</v>
      </c>
      <c r="H2626" s="410" t="s">
        <v>26</v>
      </c>
      <c r="I2626" s="399">
        <f t="shared" si="119"/>
        <v>7.56</v>
      </c>
      <c r="J2626" s="396"/>
    </row>
    <row r="2627" spans="1:10" s="367" customFormat="1" ht="22.5" customHeight="1">
      <c r="A2627" s="395"/>
      <c r="B2627" s="401" t="s">
        <v>1459</v>
      </c>
      <c r="C2627" s="397">
        <v>7</v>
      </c>
      <c r="D2627" s="397">
        <v>1</v>
      </c>
      <c r="E2627" s="397">
        <v>1</v>
      </c>
      <c r="F2627" s="410">
        <v>2.4</v>
      </c>
      <c r="G2627" s="410">
        <v>0.23</v>
      </c>
      <c r="H2627" s="410" t="s">
        <v>26</v>
      </c>
      <c r="I2627" s="399">
        <f t="shared" si="119"/>
        <v>3.86</v>
      </c>
      <c r="J2627" s="396"/>
    </row>
    <row r="2628" spans="1:10" s="367" customFormat="1" ht="22.5" customHeight="1">
      <c r="A2628" s="395"/>
      <c r="B2628" s="401" t="s">
        <v>1459</v>
      </c>
      <c r="C2628" s="397">
        <v>7</v>
      </c>
      <c r="D2628" s="397">
        <v>1</v>
      </c>
      <c r="E2628" s="397">
        <v>1</v>
      </c>
      <c r="F2628" s="410">
        <v>3</v>
      </c>
      <c r="G2628" s="410">
        <v>0.23</v>
      </c>
      <c r="H2628" s="410" t="s">
        <v>26</v>
      </c>
      <c r="I2628" s="399">
        <f t="shared" si="119"/>
        <v>4.83</v>
      </c>
      <c r="J2628" s="396"/>
    </row>
    <row r="2629" spans="1:10" s="367" customFormat="1" ht="22.5" customHeight="1">
      <c r="A2629" s="395"/>
      <c r="B2629" s="401" t="s">
        <v>1454</v>
      </c>
      <c r="C2629" s="397">
        <v>7</v>
      </c>
      <c r="D2629" s="397">
        <v>1</v>
      </c>
      <c r="E2629" s="397">
        <v>2</v>
      </c>
      <c r="F2629" s="410">
        <v>0.45</v>
      </c>
      <c r="G2629" s="410">
        <v>0.12</v>
      </c>
      <c r="H2629" s="410" t="s">
        <v>26</v>
      </c>
      <c r="I2629" s="399">
        <f t="shared" si="119"/>
        <v>0.76</v>
      </c>
      <c r="J2629" s="396"/>
    </row>
    <row r="2630" spans="1:10" s="367" customFormat="1" ht="22.5" customHeight="1">
      <c r="A2630" s="395"/>
      <c r="B2630" s="396" t="s">
        <v>1523</v>
      </c>
      <c r="C2630" s="397"/>
      <c r="D2630" s="397"/>
      <c r="E2630" s="397"/>
      <c r="F2630" s="410"/>
      <c r="G2630" s="410"/>
      <c r="H2630" s="410"/>
      <c r="I2630" s="399"/>
      <c r="J2630" s="396"/>
    </row>
    <row r="2631" spans="1:10" s="367" customFormat="1" ht="22.5" customHeight="1">
      <c r="A2631" s="395"/>
      <c r="B2631" s="401" t="s">
        <v>1448</v>
      </c>
      <c r="C2631" s="397">
        <v>7</v>
      </c>
      <c r="D2631" s="397">
        <v>2</v>
      </c>
      <c r="E2631" s="397">
        <v>10</v>
      </c>
      <c r="F2631" s="410">
        <v>1.46</v>
      </c>
      <c r="G2631" s="410" t="s">
        <v>26</v>
      </c>
      <c r="H2631" s="410">
        <v>0.15</v>
      </c>
      <c r="I2631" s="399">
        <f t="shared" ref="I2631:I2647" si="120">PRODUCT(C2631:H2631)</f>
        <v>30.66</v>
      </c>
      <c r="J2631" s="396"/>
    </row>
    <row r="2632" spans="1:10" s="367" customFormat="1" ht="22.5" customHeight="1">
      <c r="A2632" s="395"/>
      <c r="B2632" s="401" t="s">
        <v>1442</v>
      </c>
      <c r="C2632" s="397">
        <v>7</v>
      </c>
      <c r="D2632" s="397">
        <v>2</v>
      </c>
      <c r="E2632" s="397">
        <v>5</v>
      </c>
      <c r="F2632" s="410">
        <v>2.69</v>
      </c>
      <c r="G2632" s="410" t="s">
        <v>26</v>
      </c>
      <c r="H2632" s="410">
        <v>0.15</v>
      </c>
      <c r="I2632" s="399">
        <f t="shared" si="120"/>
        <v>28.25</v>
      </c>
      <c r="J2632" s="396"/>
    </row>
    <row r="2633" spans="1:10" s="367" customFormat="1" ht="22.5" customHeight="1">
      <c r="A2633" s="395"/>
      <c r="B2633" s="401" t="s">
        <v>1526</v>
      </c>
      <c r="C2633" s="397">
        <v>7</v>
      </c>
      <c r="D2633" s="397">
        <v>2</v>
      </c>
      <c r="E2633" s="397">
        <v>10</v>
      </c>
      <c r="F2633" s="410">
        <v>2.4</v>
      </c>
      <c r="G2633" s="410" t="s">
        <v>26</v>
      </c>
      <c r="H2633" s="410">
        <v>0.15</v>
      </c>
      <c r="I2633" s="399">
        <f t="shared" si="120"/>
        <v>50.4</v>
      </c>
      <c r="J2633" s="396"/>
    </row>
    <row r="2634" spans="1:10" s="367" customFormat="1" ht="22.5" customHeight="1">
      <c r="A2634" s="395"/>
      <c r="B2634" s="401" t="s">
        <v>1518</v>
      </c>
      <c r="C2634" s="397">
        <v>7</v>
      </c>
      <c r="D2634" s="397">
        <v>2</v>
      </c>
      <c r="E2634" s="397">
        <v>20</v>
      </c>
      <c r="F2634" s="410">
        <v>1.21</v>
      </c>
      <c r="G2634" s="410" t="s">
        <v>26</v>
      </c>
      <c r="H2634" s="410">
        <v>0.15</v>
      </c>
      <c r="I2634" s="399">
        <f t="shared" si="120"/>
        <v>50.82</v>
      </c>
      <c r="J2634" s="396"/>
    </row>
    <row r="2635" spans="1:10" s="367" customFormat="1" ht="22.5" customHeight="1">
      <c r="A2635" s="395"/>
      <c r="B2635" s="401" t="s">
        <v>1443</v>
      </c>
      <c r="C2635" s="397">
        <v>7</v>
      </c>
      <c r="D2635" s="397">
        <v>2</v>
      </c>
      <c r="E2635" s="397">
        <v>3</v>
      </c>
      <c r="F2635" s="410">
        <v>1.36</v>
      </c>
      <c r="G2635" s="410" t="s">
        <v>26</v>
      </c>
      <c r="H2635" s="410">
        <v>0.15</v>
      </c>
      <c r="I2635" s="399">
        <f t="shared" si="120"/>
        <v>8.57</v>
      </c>
      <c r="J2635" s="396"/>
    </row>
    <row r="2636" spans="1:10" s="367" customFormat="1" ht="22.5" customHeight="1">
      <c r="A2636" s="395"/>
      <c r="B2636" s="401" t="s">
        <v>1520</v>
      </c>
      <c r="C2636" s="397">
        <v>7</v>
      </c>
      <c r="D2636" s="397">
        <v>2</v>
      </c>
      <c r="E2636" s="397">
        <v>2</v>
      </c>
      <c r="F2636" s="410">
        <v>1.46</v>
      </c>
      <c r="G2636" s="410" t="s">
        <v>26</v>
      </c>
      <c r="H2636" s="410">
        <v>0.15</v>
      </c>
      <c r="I2636" s="399">
        <f t="shared" si="120"/>
        <v>6.13</v>
      </c>
      <c r="J2636" s="396"/>
    </row>
    <row r="2637" spans="1:10" s="367" customFormat="1" ht="22.5" customHeight="1">
      <c r="A2637" s="395"/>
      <c r="B2637" s="401" t="s">
        <v>1521</v>
      </c>
      <c r="C2637" s="397">
        <v>7</v>
      </c>
      <c r="D2637" s="397">
        <v>2</v>
      </c>
      <c r="E2637" s="397">
        <v>1</v>
      </c>
      <c r="F2637" s="410">
        <v>1.66</v>
      </c>
      <c r="G2637" s="410" t="s">
        <v>26</v>
      </c>
      <c r="H2637" s="410">
        <v>0.15</v>
      </c>
      <c r="I2637" s="399">
        <f t="shared" si="120"/>
        <v>3.49</v>
      </c>
      <c r="J2637" s="396"/>
    </row>
    <row r="2638" spans="1:10" s="367" customFormat="1" ht="22.5" customHeight="1">
      <c r="A2638" s="395"/>
      <c r="B2638" s="401" t="s">
        <v>1456</v>
      </c>
      <c r="C2638" s="397">
        <v>7</v>
      </c>
      <c r="D2638" s="397">
        <v>2</v>
      </c>
      <c r="E2638" s="397">
        <v>2</v>
      </c>
      <c r="F2638" s="410">
        <v>1.36</v>
      </c>
      <c r="G2638" s="410" t="s">
        <v>26</v>
      </c>
      <c r="H2638" s="410">
        <v>0.15</v>
      </c>
      <c r="I2638" s="399">
        <f t="shared" si="120"/>
        <v>5.71</v>
      </c>
      <c r="J2638" s="396"/>
    </row>
    <row r="2639" spans="1:10" s="367" customFormat="1" ht="22.5" customHeight="1">
      <c r="A2639" s="395"/>
      <c r="B2639" s="401" t="s">
        <v>1457</v>
      </c>
      <c r="C2639" s="397">
        <v>7</v>
      </c>
      <c r="D2639" s="397">
        <v>2</v>
      </c>
      <c r="E2639" s="397">
        <v>12</v>
      </c>
      <c r="F2639" s="410">
        <v>1.21</v>
      </c>
      <c r="G2639" s="410" t="s">
        <v>26</v>
      </c>
      <c r="H2639" s="410">
        <v>0.15</v>
      </c>
      <c r="I2639" s="399">
        <f t="shared" si="120"/>
        <v>30.49</v>
      </c>
      <c r="J2639" s="396"/>
    </row>
    <row r="2640" spans="1:10" s="367" customFormat="1" ht="22.5" customHeight="1">
      <c r="A2640" s="395"/>
      <c r="B2640" s="401" t="s">
        <v>1459</v>
      </c>
      <c r="C2640" s="397">
        <v>7</v>
      </c>
      <c r="D2640" s="397">
        <v>1</v>
      </c>
      <c r="E2640" s="397">
        <v>2</v>
      </c>
      <c r="F2640" s="410">
        <v>2.86</v>
      </c>
      <c r="G2640" s="410" t="s">
        <v>26</v>
      </c>
      <c r="H2640" s="410">
        <v>0.15</v>
      </c>
      <c r="I2640" s="399">
        <f t="shared" si="120"/>
        <v>6.01</v>
      </c>
      <c r="J2640" s="396"/>
    </row>
    <row r="2641" spans="1:10" s="367" customFormat="1" ht="22.5" customHeight="1">
      <c r="A2641" s="395"/>
      <c r="B2641" s="401" t="s">
        <v>1459</v>
      </c>
      <c r="C2641" s="397">
        <v>7</v>
      </c>
      <c r="D2641" s="397">
        <v>1</v>
      </c>
      <c r="E2641" s="397">
        <v>2</v>
      </c>
      <c r="F2641" s="410">
        <v>3.46</v>
      </c>
      <c r="G2641" s="410" t="s">
        <v>26</v>
      </c>
      <c r="H2641" s="410">
        <v>0.15</v>
      </c>
      <c r="I2641" s="399">
        <f t="shared" si="120"/>
        <v>7.27</v>
      </c>
      <c r="J2641" s="396"/>
    </row>
    <row r="2642" spans="1:10" s="367" customFormat="1" ht="22.5" customHeight="1">
      <c r="A2642" s="395"/>
      <c r="B2642" s="401" t="s">
        <v>1454</v>
      </c>
      <c r="C2642" s="397">
        <v>7</v>
      </c>
      <c r="D2642" s="397">
        <v>1</v>
      </c>
      <c r="E2642" s="397">
        <v>2</v>
      </c>
      <c r="F2642" s="410">
        <v>0.91</v>
      </c>
      <c r="G2642" s="410" t="s">
        <v>26</v>
      </c>
      <c r="H2642" s="410">
        <v>0.15</v>
      </c>
      <c r="I2642" s="399">
        <f t="shared" si="120"/>
        <v>1.91</v>
      </c>
      <c r="J2642" s="396"/>
    </row>
    <row r="2643" spans="1:10" s="367" customFormat="1" ht="22.5" customHeight="1">
      <c r="A2643" s="395"/>
      <c r="B2643" s="401" t="s">
        <v>1528</v>
      </c>
      <c r="C2643" s="397">
        <v>7</v>
      </c>
      <c r="D2643" s="397">
        <v>2</v>
      </c>
      <c r="E2643" s="397">
        <v>10</v>
      </c>
      <c r="F2643" s="410">
        <v>3.35</v>
      </c>
      <c r="G2643" s="410" t="s">
        <v>26</v>
      </c>
      <c r="H2643" s="410">
        <v>0.15</v>
      </c>
      <c r="I2643" s="399">
        <f t="shared" si="120"/>
        <v>70.349999999999994</v>
      </c>
      <c r="J2643" s="396"/>
    </row>
    <row r="2644" spans="1:10" s="367" customFormat="1" ht="22.5" customHeight="1">
      <c r="A2644" s="395"/>
      <c r="B2644" s="401" t="s">
        <v>1529</v>
      </c>
      <c r="C2644" s="397">
        <v>7</v>
      </c>
      <c r="D2644" s="397">
        <v>2</v>
      </c>
      <c r="E2644" s="397">
        <v>10</v>
      </c>
      <c r="F2644" s="410">
        <v>3.35</v>
      </c>
      <c r="G2644" s="410" t="s">
        <v>26</v>
      </c>
      <c r="H2644" s="410">
        <v>0.15</v>
      </c>
      <c r="I2644" s="399">
        <f t="shared" si="120"/>
        <v>70.349999999999994</v>
      </c>
      <c r="J2644" s="396"/>
    </row>
    <row r="2645" spans="1:10" s="367" customFormat="1" ht="35.25" customHeight="1">
      <c r="A2645" s="395"/>
      <c r="B2645" s="401" t="s">
        <v>1530</v>
      </c>
      <c r="C2645" s="397">
        <v>7</v>
      </c>
      <c r="D2645" s="397">
        <v>2</v>
      </c>
      <c r="E2645" s="397">
        <v>10</v>
      </c>
      <c r="F2645" s="410">
        <v>2.52</v>
      </c>
      <c r="G2645" s="410" t="s">
        <v>26</v>
      </c>
      <c r="H2645" s="410">
        <v>0.15</v>
      </c>
      <c r="I2645" s="399">
        <f t="shared" si="120"/>
        <v>52.92</v>
      </c>
      <c r="J2645" s="396"/>
    </row>
    <row r="2646" spans="1:10" s="367" customFormat="1" ht="22.5" customHeight="1">
      <c r="A2646" s="395"/>
      <c r="B2646" s="401" t="s">
        <v>1531</v>
      </c>
      <c r="C2646" s="397">
        <v>7</v>
      </c>
      <c r="D2646" s="397">
        <v>2</v>
      </c>
      <c r="E2646" s="397">
        <v>10</v>
      </c>
      <c r="F2646" s="410">
        <v>2.92</v>
      </c>
      <c r="G2646" s="410" t="s">
        <v>26</v>
      </c>
      <c r="H2646" s="410">
        <v>0.15</v>
      </c>
      <c r="I2646" s="399">
        <f t="shared" si="120"/>
        <v>61.32</v>
      </c>
      <c r="J2646" s="396"/>
    </row>
    <row r="2647" spans="1:10" s="367" customFormat="1" ht="22.5" customHeight="1">
      <c r="A2647" s="395"/>
      <c r="B2647" s="401" t="s">
        <v>1532</v>
      </c>
      <c r="C2647" s="397">
        <v>7</v>
      </c>
      <c r="D2647" s="397">
        <v>2</v>
      </c>
      <c r="E2647" s="397">
        <v>10</v>
      </c>
      <c r="F2647" s="410">
        <v>3.63</v>
      </c>
      <c r="G2647" s="410" t="s">
        <v>26</v>
      </c>
      <c r="H2647" s="410">
        <v>0.15</v>
      </c>
      <c r="I2647" s="399">
        <f t="shared" si="120"/>
        <v>76.23</v>
      </c>
      <c r="J2647" s="396"/>
    </row>
    <row r="2648" spans="1:10" s="367" customFormat="1" ht="22.5" customHeight="1">
      <c r="A2648" s="395"/>
      <c r="B2648" s="396" t="s">
        <v>1418</v>
      </c>
      <c r="C2648" s="397"/>
      <c r="D2648" s="397"/>
      <c r="E2648" s="397"/>
      <c r="F2648" s="410"/>
      <c r="G2648" s="410"/>
      <c r="H2648" s="410"/>
      <c r="I2648" s="399"/>
      <c r="J2648" s="396"/>
    </row>
    <row r="2649" spans="1:10" s="367" customFormat="1" ht="22.5" customHeight="1">
      <c r="A2649" s="395"/>
      <c r="B2649" s="401" t="s">
        <v>89</v>
      </c>
      <c r="C2649" s="397">
        <v>7</v>
      </c>
      <c r="D2649" s="397">
        <v>1</v>
      </c>
      <c r="E2649" s="397">
        <v>10</v>
      </c>
      <c r="F2649" s="410">
        <v>3.35</v>
      </c>
      <c r="G2649" s="410">
        <v>0.45</v>
      </c>
      <c r="H2649" s="410" t="s">
        <v>26</v>
      </c>
      <c r="I2649" s="399">
        <f t="shared" ref="I2649:I2657" si="121">PRODUCT(C2649:H2649)</f>
        <v>105.53</v>
      </c>
      <c r="J2649" s="396"/>
    </row>
    <row r="2650" spans="1:10" s="367" customFormat="1" ht="22.5" customHeight="1">
      <c r="A2650" s="395"/>
      <c r="B2650" s="401" t="s">
        <v>1533</v>
      </c>
      <c r="C2650" s="397">
        <v>7</v>
      </c>
      <c r="D2650" s="397">
        <v>2</v>
      </c>
      <c r="E2650" s="397">
        <v>10</v>
      </c>
      <c r="F2650" s="410">
        <v>3.35</v>
      </c>
      <c r="G2650" s="410">
        <v>0.6</v>
      </c>
      <c r="H2650" s="410" t="s">
        <v>26</v>
      </c>
      <c r="I2650" s="399">
        <f t="shared" si="121"/>
        <v>281.39999999999998</v>
      </c>
      <c r="J2650" s="396"/>
    </row>
    <row r="2651" spans="1:10" s="367" customFormat="1" ht="22.5" customHeight="1">
      <c r="A2651" s="395"/>
      <c r="B2651" s="401" t="s">
        <v>88</v>
      </c>
      <c r="C2651" s="397">
        <v>7</v>
      </c>
      <c r="D2651" s="397">
        <v>1</v>
      </c>
      <c r="E2651" s="397">
        <v>10</v>
      </c>
      <c r="F2651" s="410">
        <v>4.5999999999999996</v>
      </c>
      <c r="G2651" s="410">
        <v>0.6</v>
      </c>
      <c r="H2651" s="410" t="s">
        <v>26</v>
      </c>
      <c r="I2651" s="399">
        <f t="shared" si="121"/>
        <v>193.2</v>
      </c>
      <c r="J2651" s="396"/>
    </row>
    <row r="2652" spans="1:10" s="367" customFormat="1" ht="22.5" customHeight="1">
      <c r="A2652" s="395"/>
      <c r="B2652" s="401" t="s">
        <v>1419</v>
      </c>
      <c r="C2652" s="397">
        <v>7</v>
      </c>
      <c r="D2652" s="397">
        <v>1</v>
      </c>
      <c r="E2652" s="397">
        <v>10</v>
      </c>
      <c r="F2652" s="410">
        <v>3.85</v>
      </c>
      <c r="G2652" s="410">
        <v>0.6</v>
      </c>
      <c r="H2652" s="410" t="s">
        <v>26</v>
      </c>
      <c r="I2652" s="399">
        <f t="shared" si="121"/>
        <v>161.69999999999999</v>
      </c>
      <c r="J2652" s="396"/>
    </row>
    <row r="2653" spans="1:10" s="367" customFormat="1" ht="22.5" customHeight="1">
      <c r="A2653" s="395"/>
      <c r="B2653" s="401" t="s">
        <v>1534</v>
      </c>
      <c r="C2653" s="397">
        <v>7</v>
      </c>
      <c r="D2653" s="397">
        <v>2</v>
      </c>
      <c r="E2653" s="397">
        <v>10</v>
      </c>
      <c r="F2653" s="410">
        <v>0.6</v>
      </c>
      <c r="G2653" s="410">
        <v>0.1</v>
      </c>
      <c r="H2653" s="410" t="s">
        <v>26</v>
      </c>
      <c r="I2653" s="399">
        <f t="shared" si="121"/>
        <v>8.4</v>
      </c>
      <c r="J2653" s="396"/>
    </row>
    <row r="2654" spans="1:10" s="367" customFormat="1" ht="22.5" customHeight="1">
      <c r="A2654" s="395"/>
      <c r="B2654" s="401" t="s">
        <v>514</v>
      </c>
      <c r="C2654" s="397">
        <v>7</v>
      </c>
      <c r="D2654" s="397">
        <v>1</v>
      </c>
      <c r="E2654" s="397">
        <v>8</v>
      </c>
      <c r="F2654" s="410">
        <v>3.1</v>
      </c>
      <c r="G2654" s="410">
        <v>1</v>
      </c>
      <c r="H2654" s="410" t="s">
        <v>26</v>
      </c>
      <c r="I2654" s="399">
        <f t="shared" si="121"/>
        <v>173.6</v>
      </c>
      <c r="J2654" s="396"/>
    </row>
    <row r="2655" spans="1:10" s="367" customFormat="1" ht="22.5" customHeight="1">
      <c r="A2655" s="395"/>
      <c r="B2655" s="401" t="s">
        <v>514</v>
      </c>
      <c r="C2655" s="397">
        <v>7</v>
      </c>
      <c r="D2655" s="397">
        <v>1</v>
      </c>
      <c r="E2655" s="397">
        <v>2</v>
      </c>
      <c r="F2655" s="410">
        <v>2.5</v>
      </c>
      <c r="G2655" s="410">
        <v>1</v>
      </c>
      <c r="H2655" s="410" t="s">
        <v>26</v>
      </c>
      <c r="I2655" s="399">
        <f t="shared" si="121"/>
        <v>35</v>
      </c>
      <c r="J2655" s="396"/>
    </row>
    <row r="2656" spans="1:10" s="367" customFormat="1" ht="22.5" customHeight="1">
      <c r="A2656" s="395"/>
      <c r="B2656" s="401" t="s">
        <v>1535</v>
      </c>
      <c r="C2656" s="397">
        <v>7</v>
      </c>
      <c r="D2656" s="397">
        <v>1</v>
      </c>
      <c r="E2656" s="397">
        <v>8</v>
      </c>
      <c r="F2656" s="410">
        <v>5.0999999999999996</v>
      </c>
      <c r="G2656" s="410" t="s">
        <v>26</v>
      </c>
      <c r="H2656" s="398">
        <v>0.125</v>
      </c>
      <c r="I2656" s="399">
        <f t="shared" si="121"/>
        <v>35.700000000000003</v>
      </c>
      <c r="J2656" s="396"/>
    </row>
    <row r="2657" spans="1:10" s="367" customFormat="1" ht="22.5" customHeight="1">
      <c r="A2657" s="395"/>
      <c r="B2657" s="401" t="s">
        <v>514</v>
      </c>
      <c r="C2657" s="397">
        <v>7</v>
      </c>
      <c r="D2657" s="397">
        <v>1</v>
      </c>
      <c r="E2657" s="397">
        <v>2</v>
      </c>
      <c r="F2657" s="410">
        <v>5.5</v>
      </c>
      <c r="G2657" s="410" t="s">
        <v>26</v>
      </c>
      <c r="H2657" s="398">
        <v>0.125</v>
      </c>
      <c r="I2657" s="399">
        <f t="shared" si="121"/>
        <v>9.6300000000000008</v>
      </c>
      <c r="J2657" s="396"/>
    </row>
    <row r="2658" spans="1:10" s="367" customFormat="1" ht="22.5" customHeight="1">
      <c r="A2658" s="395"/>
      <c r="B2658" s="396" t="s">
        <v>1424</v>
      </c>
      <c r="C2658" s="397"/>
      <c r="D2658" s="397"/>
      <c r="E2658" s="397"/>
      <c r="F2658" s="410"/>
      <c r="G2658" s="410"/>
      <c r="H2658" s="398"/>
      <c r="I2658" s="399"/>
      <c r="J2658" s="396"/>
    </row>
    <row r="2659" spans="1:10" s="367" customFormat="1" ht="22.5" customHeight="1">
      <c r="A2659" s="395"/>
      <c r="B2659" s="396" t="s">
        <v>1468</v>
      </c>
      <c r="C2659" s="397"/>
      <c r="D2659" s="397"/>
      <c r="E2659" s="397"/>
      <c r="F2659" s="410"/>
      <c r="G2659" s="410"/>
      <c r="H2659" s="398"/>
      <c r="I2659" s="399"/>
      <c r="J2659" s="396"/>
    </row>
    <row r="2660" spans="1:10" s="367" customFormat="1" ht="22.5" customHeight="1">
      <c r="A2660" s="395"/>
      <c r="B2660" s="401" t="s">
        <v>1341</v>
      </c>
      <c r="C2660" s="397">
        <v>1</v>
      </c>
      <c r="D2660" s="397">
        <v>1</v>
      </c>
      <c r="E2660" s="397">
        <v>2</v>
      </c>
      <c r="F2660" s="410">
        <v>3.31</v>
      </c>
      <c r="G2660" s="410">
        <v>6.46</v>
      </c>
      <c r="H2660" s="410" t="s">
        <v>26</v>
      </c>
      <c r="I2660" s="399">
        <f t="shared" ref="I2660:I2688" si="122">PRODUCT(C2660:H2660)</f>
        <v>42.77</v>
      </c>
      <c r="J2660" s="396"/>
    </row>
    <row r="2661" spans="1:10" s="367" customFormat="1" ht="22.5" customHeight="1">
      <c r="A2661" s="395"/>
      <c r="B2661" s="401" t="s">
        <v>1341</v>
      </c>
      <c r="C2661" s="397">
        <v>1</v>
      </c>
      <c r="D2661" s="397">
        <v>2</v>
      </c>
      <c r="E2661" s="410">
        <v>0.5</v>
      </c>
      <c r="F2661" s="410">
        <v>1.1399999999999999</v>
      </c>
      <c r="G2661" s="410">
        <v>1.1399999999999999</v>
      </c>
      <c r="H2661" s="410" t="s">
        <v>26</v>
      </c>
      <c r="I2661" s="399">
        <f t="shared" si="122"/>
        <v>1.3</v>
      </c>
      <c r="J2661" s="396"/>
    </row>
    <row r="2662" spans="1:10" s="367" customFormat="1" ht="22.5" customHeight="1">
      <c r="A2662" s="395"/>
      <c r="B2662" s="401" t="s">
        <v>1341</v>
      </c>
      <c r="C2662" s="397">
        <v>1</v>
      </c>
      <c r="D2662" s="397">
        <v>2</v>
      </c>
      <c r="E2662" s="410">
        <v>0.5</v>
      </c>
      <c r="F2662" s="410">
        <v>0.68</v>
      </c>
      <c r="G2662" s="410">
        <v>0.68</v>
      </c>
      <c r="H2662" s="410" t="s">
        <v>26</v>
      </c>
      <c r="I2662" s="399">
        <f t="shared" si="122"/>
        <v>0.46</v>
      </c>
      <c r="J2662" s="396"/>
    </row>
    <row r="2663" spans="1:10" s="367" customFormat="1" ht="22.5" customHeight="1">
      <c r="A2663" s="395"/>
      <c r="B2663" s="401" t="s">
        <v>1342</v>
      </c>
      <c r="C2663" s="397">
        <v>1</v>
      </c>
      <c r="D2663" s="397">
        <v>1</v>
      </c>
      <c r="E2663" s="397">
        <v>1</v>
      </c>
      <c r="F2663" s="410">
        <v>3.06</v>
      </c>
      <c r="G2663" s="410">
        <v>6.52</v>
      </c>
      <c r="H2663" s="410" t="s">
        <v>26</v>
      </c>
      <c r="I2663" s="399">
        <f t="shared" si="122"/>
        <v>19.95</v>
      </c>
      <c r="J2663" s="396"/>
    </row>
    <row r="2664" spans="1:10" s="367" customFormat="1" ht="22.5" customHeight="1">
      <c r="A2664" s="395"/>
      <c r="B2664" s="401" t="s">
        <v>1537</v>
      </c>
      <c r="C2664" s="397">
        <v>1</v>
      </c>
      <c r="D2664" s="397">
        <v>1</v>
      </c>
      <c r="E2664" s="397">
        <v>1</v>
      </c>
      <c r="F2664" s="410">
        <v>2.6</v>
      </c>
      <c r="G2664" s="410">
        <v>2.2599999999999998</v>
      </c>
      <c r="H2664" s="410" t="s">
        <v>26</v>
      </c>
      <c r="I2664" s="399">
        <f t="shared" si="122"/>
        <v>5.88</v>
      </c>
      <c r="J2664" s="396"/>
    </row>
    <row r="2665" spans="1:10" s="367" customFormat="1" ht="22.5" customHeight="1">
      <c r="A2665" s="395"/>
      <c r="B2665" s="401" t="s">
        <v>1343</v>
      </c>
      <c r="C2665" s="397">
        <v>1</v>
      </c>
      <c r="D2665" s="397">
        <v>1</v>
      </c>
      <c r="E2665" s="397">
        <v>1</v>
      </c>
      <c r="F2665" s="410">
        <v>6.61</v>
      </c>
      <c r="G2665" s="410">
        <v>2.76</v>
      </c>
      <c r="H2665" s="410" t="s">
        <v>26</v>
      </c>
      <c r="I2665" s="399">
        <f t="shared" si="122"/>
        <v>18.239999999999998</v>
      </c>
      <c r="J2665" s="396"/>
    </row>
    <row r="2666" spans="1:10" s="367" customFormat="1" ht="22.5" customHeight="1">
      <c r="A2666" s="395"/>
      <c r="B2666" s="401" t="s">
        <v>1344</v>
      </c>
      <c r="C2666" s="397">
        <v>1</v>
      </c>
      <c r="D2666" s="397">
        <v>1</v>
      </c>
      <c r="E2666" s="397">
        <v>1</v>
      </c>
      <c r="F2666" s="410">
        <v>6.61</v>
      </c>
      <c r="G2666" s="410">
        <v>6.52</v>
      </c>
      <c r="H2666" s="410" t="s">
        <v>26</v>
      </c>
      <c r="I2666" s="399">
        <f t="shared" si="122"/>
        <v>43.1</v>
      </c>
      <c r="J2666" s="396"/>
    </row>
    <row r="2667" spans="1:10" s="367" customFormat="1" ht="22.5" customHeight="1">
      <c r="A2667" s="395"/>
      <c r="B2667" s="401" t="s">
        <v>1344</v>
      </c>
      <c r="C2667" s="397">
        <v>1</v>
      </c>
      <c r="D2667" s="397">
        <v>1</v>
      </c>
      <c r="E2667" s="397">
        <v>1</v>
      </c>
      <c r="F2667" s="410">
        <v>1.28</v>
      </c>
      <c r="G2667" s="410">
        <v>2.2599999999999998</v>
      </c>
      <c r="H2667" s="410" t="s">
        <v>26</v>
      </c>
      <c r="I2667" s="399">
        <f t="shared" si="122"/>
        <v>2.89</v>
      </c>
      <c r="J2667" s="396"/>
    </row>
    <row r="2668" spans="1:10" s="367" customFormat="1" ht="22.5" customHeight="1">
      <c r="A2668" s="395"/>
      <c r="B2668" s="401" t="s">
        <v>1538</v>
      </c>
      <c r="C2668" s="397">
        <v>1</v>
      </c>
      <c r="D2668" s="397">
        <v>1</v>
      </c>
      <c r="E2668" s="397">
        <v>2</v>
      </c>
      <c r="F2668" s="410">
        <v>20.56</v>
      </c>
      <c r="G2668" s="410" t="s">
        <v>26</v>
      </c>
      <c r="H2668" s="410">
        <v>0.45</v>
      </c>
      <c r="I2668" s="399">
        <f t="shared" si="122"/>
        <v>18.5</v>
      </c>
      <c r="J2668" s="396"/>
    </row>
    <row r="2669" spans="1:10" s="367" customFormat="1" ht="22.5" customHeight="1">
      <c r="A2669" s="395"/>
      <c r="B2669" s="401" t="s">
        <v>1539</v>
      </c>
      <c r="C2669" s="397">
        <v>1</v>
      </c>
      <c r="D2669" s="397">
        <v>1</v>
      </c>
      <c r="E2669" s="397">
        <v>2</v>
      </c>
      <c r="F2669" s="410">
        <v>18.649999999999999</v>
      </c>
      <c r="G2669" s="410" t="s">
        <v>26</v>
      </c>
      <c r="H2669" s="410">
        <v>0.3</v>
      </c>
      <c r="I2669" s="399">
        <f t="shared" si="122"/>
        <v>11.19</v>
      </c>
      <c r="J2669" s="396"/>
    </row>
    <row r="2670" spans="1:10" s="367" customFormat="1" ht="22.5" customHeight="1">
      <c r="A2670" s="395"/>
      <c r="B2670" s="401" t="s">
        <v>1540</v>
      </c>
      <c r="C2670" s="397">
        <v>1</v>
      </c>
      <c r="D2670" s="397">
        <v>1</v>
      </c>
      <c r="E2670" s="397">
        <v>2</v>
      </c>
      <c r="F2670" s="410">
        <v>2.85</v>
      </c>
      <c r="G2670" s="410" t="s">
        <v>26</v>
      </c>
      <c r="H2670" s="410">
        <v>0.3</v>
      </c>
      <c r="I2670" s="399">
        <f t="shared" si="122"/>
        <v>1.71</v>
      </c>
      <c r="J2670" s="396"/>
    </row>
    <row r="2671" spans="1:10" s="367" customFormat="1" ht="22.5" customHeight="1">
      <c r="A2671" s="395"/>
      <c r="B2671" s="401" t="s">
        <v>1541</v>
      </c>
      <c r="C2671" s="397">
        <v>1</v>
      </c>
      <c r="D2671" s="397">
        <v>1</v>
      </c>
      <c r="E2671" s="397">
        <v>1</v>
      </c>
      <c r="F2671" s="410">
        <v>19.16</v>
      </c>
      <c r="G2671" s="410" t="s">
        <v>26</v>
      </c>
      <c r="H2671" s="410">
        <v>0.45</v>
      </c>
      <c r="I2671" s="399">
        <f t="shared" si="122"/>
        <v>8.6199999999999992</v>
      </c>
      <c r="J2671" s="396"/>
    </row>
    <row r="2672" spans="1:10" s="367" customFormat="1" ht="22.5" customHeight="1">
      <c r="A2672" s="395"/>
      <c r="B2672" s="401" t="s">
        <v>1542</v>
      </c>
      <c r="C2672" s="397">
        <v>1</v>
      </c>
      <c r="D2672" s="397">
        <v>1</v>
      </c>
      <c r="E2672" s="397">
        <v>1</v>
      </c>
      <c r="F2672" s="410">
        <v>17.32</v>
      </c>
      <c r="G2672" s="410" t="s">
        <v>26</v>
      </c>
      <c r="H2672" s="410">
        <v>0.3</v>
      </c>
      <c r="I2672" s="399">
        <f t="shared" si="122"/>
        <v>5.2</v>
      </c>
      <c r="J2672" s="396"/>
    </row>
    <row r="2673" spans="1:10" s="367" customFormat="1" ht="22.5" customHeight="1">
      <c r="A2673" s="395"/>
      <c r="B2673" s="401" t="s">
        <v>1543</v>
      </c>
      <c r="C2673" s="397">
        <v>1</v>
      </c>
      <c r="D2673" s="397">
        <v>2</v>
      </c>
      <c r="E2673" s="397">
        <v>2</v>
      </c>
      <c r="F2673" s="410">
        <v>2.6</v>
      </c>
      <c r="G2673" s="410" t="s">
        <v>26</v>
      </c>
      <c r="H2673" s="410">
        <v>0.3</v>
      </c>
      <c r="I2673" s="399">
        <f t="shared" si="122"/>
        <v>3.12</v>
      </c>
      <c r="J2673" s="396"/>
    </row>
    <row r="2674" spans="1:10" s="367" customFormat="1" ht="22.5" customHeight="1">
      <c r="A2674" s="395"/>
      <c r="B2674" s="401" t="s">
        <v>1544</v>
      </c>
      <c r="C2674" s="397">
        <v>1</v>
      </c>
      <c r="D2674" s="397">
        <v>1</v>
      </c>
      <c r="E2674" s="397">
        <v>1</v>
      </c>
      <c r="F2674" s="410">
        <v>18.739999999999998</v>
      </c>
      <c r="G2674" s="410" t="s">
        <v>26</v>
      </c>
      <c r="H2674" s="410">
        <v>0.45</v>
      </c>
      <c r="I2674" s="399">
        <f t="shared" si="122"/>
        <v>8.43</v>
      </c>
      <c r="J2674" s="396"/>
    </row>
    <row r="2675" spans="1:10" s="367" customFormat="1" ht="22.5" customHeight="1">
      <c r="A2675" s="395"/>
      <c r="B2675" s="401" t="s">
        <v>1545</v>
      </c>
      <c r="C2675" s="397">
        <v>1</v>
      </c>
      <c r="D2675" s="397">
        <v>1</v>
      </c>
      <c r="E2675" s="397">
        <v>1</v>
      </c>
      <c r="F2675" s="410">
        <v>16.899999999999999</v>
      </c>
      <c r="G2675" s="410" t="s">
        <v>26</v>
      </c>
      <c r="H2675" s="410">
        <v>0.3</v>
      </c>
      <c r="I2675" s="399">
        <f t="shared" si="122"/>
        <v>5.07</v>
      </c>
      <c r="J2675" s="396"/>
    </row>
    <row r="2676" spans="1:10" s="367" customFormat="1" ht="22.5" customHeight="1">
      <c r="A2676" s="395"/>
      <c r="B2676" s="401" t="s">
        <v>1546</v>
      </c>
      <c r="C2676" s="397">
        <v>1</v>
      </c>
      <c r="D2676" s="397">
        <v>1</v>
      </c>
      <c r="E2676" s="397">
        <v>2</v>
      </c>
      <c r="F2676" s="410">
        <v>2.2999999999999998</v>
      </c>
      <c r="G2676" s="410" t="s">
        <v>26</v>
      </c>
      <c r="H2676" s="410">
        <v>0.3</v>
      </c>
      <c r="I2676" s="399">
        <f t="shared" si="122"/>
        <v>1.38</v>
      </c>
      <c r="J2676" s="396"/>
    </row>
    <row r="2677" spans="1:10" s="367" customFormat="1" ht="22.5" customHeight="1">
      <c r="A2677" s="395"/>
      <c r="B2677" s="401" t="s">
        <v>1547</v>
      </c>
      <c r="C2677" s="397">
        <v>1</v>
      </c>
      <c r="D2677" s="397">
        <v>1</v>
      </c>
      <c r="E2677" s="397">
        <v>1</v>
      </c>
      <c r="F2677" s="410">
        <v>28.81</v>
      </c>
      <c r="G2677" s="410" t="s">
        <v>26</v>
      </c>
      <c r="H2677" s="410">
        <v>0.45</v>
      </c>
      <c r="I2677" s="399">
        <f t="shared" si="122"/>
        <v>12.96</v>
      </c>
      <c r="J2677" s="396"/>
    </row>
    <row r="2678" spans="1:10" s="367" customFormat="1" ht="22.5" customHeight="1">
      <c r="A2678" s="395"/>
      <c r="B2678" s="401" t="s">
        <v>1548</v>
      </c>
      <c r="C2678" s="397">
        <v>1</v>
      </c>
      <c r="D2678" s="397">
        <v>1</v>
      </c>
      <c r="E2678" s="397">
        <v>1</v>
      </c>
      <c r="F2678" s="410">
        <v>26.97</v>
      </c>
      <c r="G2678" s="410" t="s">
        <v>26</v>
      </c>
      <c r="H2678" s="410">
        <v>0.3</v>
      </c>
      <c r="I2678" s="399">
        <f t="shared" si="122"/>
        <v>8.09</v>
      </c>
      <c r="J2678" s="396"/>
    </row>
    <row r="2679" spans="1:10" s="367" customFormat="1" ht="22.5" customHeight="1">
      <c r="A2679" s="395"/>
      <c r="B2679" s="401" t="s">
        <v>1549</v>
      </c>
      <c r="C2679" s="397">
        <v>1</v>
      </c>
      <c r="D2679" s="397">
        <v>2</v>
      </c>
      <c r="E2679" s="397">
        <v>2</v>
      </c>
      <c r="F2679" s="410">
        <v>6.06</v>
      </c>
      <c r="G2679" s="410" t="s">
        <v>26</v>
      </c>
      <c r="H2679" s="398">
        <v>0.3</v>
      </c>
      <c r="I2679" s="399">
        <f t="shared" si="122"/>
        <v>7.27</v>
      </c>
      <c r="J2679" s="396"/>
    </row>
    <row r="2680" spans="1:10" s="367" customFormat="1" ht="22.5" customHeight="1">
      <c r="A2680" s="395"/>
      <c r="B2680" s="396" t="s">
        <v>944</v>
      </c>
      <c r="C2680" s="397"/>
      <c r="D2680" s="397"/>
      <c r="E2680" s="397"/>
      <c r="F2680" s="410"/>
      <c r="G2680" s="410"/>
      <c r="H2680" s="398"/>
      <c r="I2680" s="399"/>
      <c r="J2680" s="396"/>
    </row>
    <row r="2681" spans="1:10" s="367" customFormat="1" ht="22.5" customHeight="1">
      <c r="A2681" s="395"/>
      <c r="B2681" s="401" t="s">
        <v>1400</v>
      </c>
      <c r="C2681" s="397">
        <v>-1</v>
      </c>
      <c r="D2681" s="397">
        <v>1</v>
      </c>
      <c r="E2681" s="397">
        <v>1</v>
      </c>
      <c r="F2681" s="410">
        <v>2.2999999999999998</v>
      </c>
      <c r="G2681" s="410">
        <v>3</v>
      </c>
      <c r="H2681" s="398" t="s">
        <v>26</v>
      </c>
      <c r="I2681" s="399">
        <f t="shared" si="122"/>
        <v>-6.9</v>
      </c>
      <c r="J2681" s="396"/>
    </row>
    <row r="2682" spans="1:10" s="367" customFormat="1" ht="22.5" customHeight="1">
      <c r="A2682" s="395"/>
      <c r="B2682" s="396" t="s">
        <v>1513</v>
      </c>
      <c r="C2682" s="397"/>
      <c r="D2682" s="397"/>
      <c r="E2682" s="397"/>
      <c r="F2682" s="410"/>
      <c r="G2682" s="410"/>
      <c r="H2682" s="398"/>
      <c r="I2682" s="399"/>
      <c r="J2682" s="396"/>
    </row>
    <row r="2683" spans="1:10" s="367" customFormat="1" ht="22.5" customHeight="1">
      <c r="A2683" s="395"/>
      <c r="B2683" s="401" t="s">
        <v>1436</v>
      </c>
      <c r="C2683" s="397">
        <v>1</v>
      </c>
      <c r="D2683" s="397">
        <v>1</v>
      </c>
      <c r="E2683" s="397">
        <v>5</v>
      </c>
      <c r="F2683" s="410">
        <v>1.96</v>
      </c>
      <c r="G2683" s="410" t="s">
        <v>26</v>
      </c>
      <c r="H2683" s="410">
        <v>0.05</v>
      </c>
      <c r="I2683" s="399">
        <f t="shared" si="122"/>
        <v>0.49</v>
      </c>
      <c r="J2683" s="396"/>
    </row>
    <row r="2684" spans="1:10" s="367" customFormat="1" ht="22.5" customHeight="1">
      <c r="A2684" s="395"/>
      <c r="B2684" s="396" t="s">
        <v>1515</v>
      </c>
      <c r="C2684" s="397"/>
      <c r="D2684" s="397"/>
      <c r="E2684" s="397"/>
      <c r="F2684" s="410"/>
      <c r="G2684" s="410"/>
      <c r="H2684" s="410"/>
      <c r="I2684" s="399"/>
      <c r="J2684" s="396"/>
    </row>
    <row r="2685" spans="1:10" s="367" customFormat="1" ht="22.5" customHeight="1">
      <c r="A2685" s="395"/>
      <c r="B2685" s="401" t="s">
        <v>1443</v>
      </c>
      <c r="C2685" s="397">
        <v>1</v>
      </c>
      <c r="D2685" s="397">
        <v>1</v>
      </c>
      <c r="E2685" s="397">
        <v>2</v>
      </c>
      <c r="F2685" s="410">
        <v>0.9</v>
      </c>
      <c r="G2685" s="410">
        <v>0.23</v>
      </c>
      <c r="H2685" s="410" t="s">
        <v>26</v>
      </c>
      <c r="I2685" s="399">
        <f t="shared" si="122"/>
        <v>0.41</v>
      </c>
      <c r="J2685" s="396"/>
    </row>
    <row r="2686" spans="1:10" s="367" customFormat="1" ht="22.5" customHeight="1">
      <c r="A2686" s="395"/>
      <c r="B2686" s="401" t="s">
        <v>1444</v>
      </c>
      <c r="C2686" s="397">
        <v>1</v>
      </c>
      <c r="D2686" s="397">
        <v>1</v>
      </c>
      <c r="E2686" s="397">
        <v>1</v>
      </c>
      <c r="F2686" s="410">
        <v>1.5</v>
      </c>
      <c r="G2686" s="410">
        <v>0.23</v>
      </c>
      <c r="H2686" s="410" t="s">
        <v>26</v>
      </c>
      <c r="I2686" s="399">
        <f t="shared" si="122"/>
        <v>0.35</v>
      </c>
      <c r="J2686" s="396"/>
    </row>
    <row r="2687" spans="1:10" s="367" customFormat="1" ht="22.5" customHeight="1">
      <c r="A2687" s="395"/>
      <c r="B2687" s="401" t="s">
        <v>1445</v>
      </c>
      <c r="C2687" s="397">
        <v>1</v>
      </c>
      <c r="D2687" s="397">
        <v>1</v>
      </c>
      <c r="E2687" s="397">
        <v>2</v>
      </c>
      <c r="F2687" s="410">
        <v>1.2</v>
      </c>
      <c r="G2687" s="410">
        <v>0.23</v>
      </c>
      <c r="H2687" s="410" t="s">
        <v>26</v>
      </c>
      <c r="I2687" s="399">
        <f t="shared" si="122"/>
        <v>0.55000000000000004</v>
      </c>
      <c r="J2687" s="396"/>
    </row>
    <row r="2688" spans="1:10" s="367" customFormat="1" ht="22.5" customHeight="1">
      <c r="A2688" s="395"/>
      <c r="B2688" s="401" t="s">
        <v>1436</v>
      </c>
      <c r="C2688" s="397">
        <v>1</v>
      </c>
      <c r="D2688" s="397">
        <v>1</v>
      </c>
      <c r="E2688" s="397">
        <v>5</v>
      </c>
      <c r="F2688" s="410">
        <v>1.5</v>
      </c>
      <c r="G2688" s="410">
        <v>0.23</v>
      </c>
      <c r="H2688" s="410" t="s">
        <v>26</v>
      </c>
      <c r="I2688" s="399">
        <f t="shared" si="122"/>
        <v>1.73</v>
      </c>
      <c r="J2688" s="396"/>
    </row>
    <row r="2689" spans="1:10" s="367" customFormat="1" ht="22.5" customHeight="1">
      <c r="A2689" s="395"/>
      <c r="B2689" s="396" t="s">
        <v>1523</v>
      </c>
      <c r="C2689" s="397"/>
      <c r="D2689" s="397"/>
      <c r="E2689" s="397"/>
      <c r="F2689" s="410"/>
      <c r="G2689" s="410"/>
      <c r="H2689" s="410"/>
      <c r="I2689" s="399"/>
      <c r="J2689" s="396"/>
    </row>
    <row r="2690" spans="1:10" s="367" customFormat="1" ht="22.5" customHeight="1">
      <c r="A2690" s="395"/>
      <c r="B2690" s="401" t="s">
        <v>1443</v>
      </c>
      <c r="C2690" s="397">
        <v>1</v>
      </c>
      <c r="D2690" s="397">
        <v>2</v>
      </c>
      <c r="E2690" s="397">
        <v>2</v>
      </c>
      <c r="F2690" s="410">
        <v>1.36</v>
      </c>
      <c r="G2690" s="410" t="s">
        <v>26</v>
      </c>
      <c r="H2690" s="410">
        <v>0.15</v>
      </c>
      <c r="I2690" s="399">
        <f>PRODUCT(C2690:H2690)</f>
        <v>0.82</v>
      </c>
      <c r="J2690" s="396"/>
    </row>
    <row r="2691" spans="1:10" s="367" customFormat="1" ht="22.5" customHeight="1">
      <c r="A2691" s="395"/>
      <c r="B2691" s="401" t="s">
        <v>1444</v>
      </c>
      <c r="C2691" s="397">
        <v>1</v>
      </c>
      <c r="D2691" s="397">
        <v>2</v>
      </c>
      <c r="E2691" s="397">
        <v>1</v>
      </c>
      <c r="F2691" s="410">
        <v>1.96</v>
      </c>
      <c r="G2691" s="410" t="s">
        <v>26</v>
      </c>
      <c r="H2691" s="410">
        <v>0.15</v>
      </c>
      <c r="I2691" s="399">
        <f>PRODUCT(C2691:H2691)</f>
        <v>0.59</v>
      </c>
      <c r="J2691" s="396"/>
    </row>
    <row r="2692" spans="1:10" s="367" customFormat="1" ht="22.5" customHeight="1">
      <c r="A2692" s="395"/>
      <c r="B2692" s="401" t="s">
        <v>1445</v>
      </c>
      <c r="C2692" s="397">
        <v>1</v>
      </c>
      <c r="D2692" s="397">
        <v>2</v>
      </c>
      <c r="E2692" s="397">
        <v>2</v>
      </c>
      <c r="F2692" s="410">
        <v>1.66</v>
      </c>
      <c r="G2692" s="410" t="s">
        <v>26</v>
      </c>
      <c r="H2692" s="410">
        <v>0.15</v>
      </c>
      <c r="I2692" s="399">
        <f>PRODUCT(C2692:H2692)</f>
        <v>1</v>
      </c>
      <c r="J2692" s="396"/>
    </row>
    <row r="2693" spans="1:10" s="367" customFormat="1" ht="22.5" customHeight="1">
      <c r="A2693" s="395"/>
      <c r="B2693" s="401" t="s">
        <v>1436</v>
      </c>
      <c r="C2693" s="397">
        <v>1</v>
      </c>
      <c r="D2693" s="397">
        <v>2</v>
      </c>
      <c r="E2693" s="397">
        <v>5</v>
      </c>
      <c r="F2693" s="410">
        <v>1.96</v>
      </c>
      <c r="G2693" s="410" t="s">
        <v>26</v>
      </c>
      <c r="H2693" s="410">
        <v>0.15</v>
      </c>
      <c r="I2693" s="399">
        <f>PRODUCT(C2693:H2693)</f>
        <v>2.94</v>
      </c>
      <c r="J2693" s="396"/>
    </row>
    <row r="2694" spans="1:10" s="367" customFormat="1" ht="22.5" customHeight="1">
      <c r="A2694" s="395"/>
      <c r="B2694" s="396" t="s">
        <v>1550</v>
      </c>
      <c r="C2694" s="397"/>
      <c r="D2694" s="397"/>
      <c r="E2694" s="397"/>
      <c r="F2694" s="410"/>
      <c r="G2694" s="410"/>
      <c r="H2694" s="398"/>
      <c r="I2694" s="399"/>
      <c r="J2694" s="396"/>
    </row>
    <row r="2695" spans="1:10" s="367" customFormat="1" ht="22.5" customHeight="1">
      <c r="A2695" s="395"/>
      <c r="B2695" s="401" t="s">
        <v>1507</v>
      </c>
      <c r="C2695" s="397">
        <v>1</v>
      </c>
      <c r="D2695" s="397">
        <v>1</v>
      </c>
      <c r="E2695" s="397">
        <v>1</v>
      </c>
      <c r="F2695" s="410">
        <v>0.9</v>
      </c>
      <c r="G2695" s="410">
        <v>0.9</v>
      </c>
      <c r="H2695" s="398" t="s">
        <v>26</v>
      </c>
      <c r="I2695" s="399">
        <f t="shared" ref="I2695:I2700" si="123">PRODUCT(C2695:H2695)</f>
        <v>0.81</v>
      </c>
      <c r="J2695" s="396"/>
    </row>
    <row r="2696" spans="1:10" s="367" customFormat="1" ht="22.5" customHeight="1">
      <c r="A2696" s="395"/>
      <c r="B2696" s="401" t="s">
        <v>1508</v>
      </c>
      <c r="C2696" s="397">
        <v>1</v>
      </c>
      <c r="D2696" s="397">
        <v>1</v>
      </c>
      <c r="E2696" s="397">
        <v>1</v>
      </c>
      <c r="F2696" s="410">
        <v>1.8</v>
      </c>
      <c r="G2696" s="410">
        <v>0.9</v>
      </c>
      <c r="H2696" s="398" t="s">
        <v>26</v>
      </c>
      <c r="I2696" s="399">
        <f t="shared" si="123"/>
        <v>1.62</v>
      </c>
      <c r="J2696" s="396"/>
    </row>
    <row r="2697" spans="1:10" s="367" customFormat="1" ht="22.5" customHeight="1">
      <c r="A2697" s="395"/>
      <c r="B2697" s="401" t="s">
        <v>1509</v>
      </c>
      <c r="C2697" s="397">
        <v>1</v>
      </c>
      <c r="D2697" s="397">
        <v>1</v>
      </c>
      <c r="E2697" s="397">
        <v>1</v>
      </c>
      <c r="F2697" s="410">
        <v>1.8</v>
      </c>
      <c r="G2697" s="410">
        <v>0.9</v>
      </c>
      <c r="H2697" s="398" t="s">
        <v>26</v>
      </c>
      <c r="I2697" s="399">
        <f t="shared" si="123"/>
        <v>1.62</v>
      </c>
      <c r="J2697" s="396"/>
    </row>
    <row r="2698" spans="1:10" s="367" customFormat="1" ht="22.5" customHeight="1">
      <c r="A2698" s="395"/>
      <c r="B2698" s="401" t="s">
        <v>574</v>
      </c>
      <c r="C2698" s="397">
        <v>1</v>
      </c>
      <c r="D2698" s="397">
        <v>1</v>
      </c>
      <c r="E2698" s="397">
        <v>1</v>
      </c>
      <c r="F2698" s="410">
        <v>1.1299999999999999</v>
      </c>
      <c r="G2698" s="410">
        <v>0.9</v>
      </c>
      <c r="H2698" s="398" t="s">
        <v>26</v>
      </c>
      <c r="I2698" s="399">
        <f t="shared" si="123"/>
        <v>1.02</v>
      </c>
      <c r="J2698" s="396"/>
    </row>
    <row r="2699" spans="1:10" s="367" customFormat="1" ht="22.5" customHeight="1">
      <c r="A2699" s="395"/>
      <c r="B2699" s="401" t="s">
        <v>528</v>
      </c>
      <c r="C2699" s="397">
        <v>1</v>
      </c>
      <c r="D2699" s="397">
        <v>1</v>
      </c>
      <c r="E2699" s="397">
        <v>7</v>
      </c>
      <c r="F2699" s="410">
        <v>1.35</v>
      </c>
      <c r="G2699" s="410" t="s">
        <v>26</v>
      </c>
      <c r="H2699" s="398">
        <v>0.15</v>
      </c>
      <c r="I2699" s="399">
        <f t="shared" si="123"/>
        <v>1.42</v>
      </c>
      <c r="J2699" s="396"/>
    </row>
    <row r="2700" spans="1:10" s="367" customFormat="1" ht="22.5" customHeight="1">
      <c r="A2700" s="395"/>
      <c r="B2700" s="401" t="s">
        <v>528</v>
      </c>
      <c r="C2700" s="397">
        <v>1</v>
      </c>
      <c r="D2700" s="397">
        <v>2</v>
      </c>
      <c r="E2700" s="397">
        <v>7</v>
      </c>
      <c r="F2700" s="410">
        <v>0.5</v>
      </c>
      <c r="G2700" s="410">
        <v>0.3</v>
      </c>
      <c r="H2700" s="398">
        <v>0.15</v>
      </c>
      <c r="I2700" s="399">
        <f t="shared" si="123"/>
        <v>0.32</v>
      </c>
      <c r="J2700" s="396"/>
    </row>
    <row r="2701" spans="1:10" s="367" customFormat="1" ht="22.5" customHeight="1">
      <c r="A2701" s="395"/>
      <c r="B2701" s="396" t="s">
        <v>1551</v>
      </c>
      <c r="C2701" s="397"/>
      <c r="D2701" s="397"/>
      <c r="E2701" s="397"/>
      <c r="F2701" s="410"/>
      <c r="G2701" s="410"/>
      <c r="H2701" s="398"/>
      <c r="I2701" s="399"/>
      <c r="J2701" s="396"/>
    </row>
    <row r="2702" spans="1:10" s="367" customFormat="1" ht="22.5" customHeight="1">
      <c r="A2702" s="395"/>
      <c r="B2702" s="401" t="s">
        <v>1507</v>
      </c>
      <c r="C2702" s="397">
        <v>1</v>
      </c>
      <c r="D2702" s="397">
        <v>1</v>
      </c>
      <c r="E2702" s="397">
        <v>1</v>
      </c>
      <c r="F2702" s="410">
        <v>0.9</v>
      </c>
      <c r="G2702" s="410">
        <v>0.9</v>
      </c>
      <c r="H2702" s="398" t="s">
        <v>26</v>
      </c>
      <c r="I2702" s="399">
        <f t="shared" ref="I2702:I2709" si="124">PRODUCT(C2702:H2702)</f>
        <v>0.81</v>
      </c>
      <c r="J2702" s="396"/>
    </row>
    <row r="2703" spans="1:10" s="367" customFormat="1" ht="22.5" customHeight="1">
      <c r="A2703" s="395"/>
      <c r="B2703" s="401" t="s">
        <v>1508</v>
      </c>
      <c r="C2703" s="397">
        <v>1</v>
      </c>
      <c r="D2703" s="397">
        <v>1</v>
      </c>
      <c r="E2703" s="397">
        <v>1</v>
      </c>
      <c r="F2703" s="410">
        <v>0.9</v>
      </c>
      <c r="G2703" s="410">
        <v>0.9</v>
      </c>
      <c r="H2703" s="398" t="s">
        <v>26</v>
      </c>
      <c r="I2703" s="399">
        <f t="shared" si="124"/>
        <v>0.81</v>
      </c>
      <c r="J2703" s="396"/>
    </row>
    <row r="2704" spans="1:10" s="367" customFormat="1" ht="22.5" customHeight="1">
      <c r="A2704" s="395"/>
      <c r="B2704" s="401" t="s">
        <v>1509</v>
      </c>
      <c r="C2704" s="397">
        <v>1</v>
      </c>
      <c r="D2704" s="397">
        <v>1</v>
      </c>
      <c r="E2704" s="397">
        <v>1</v>
      </c>
      <c r="F2704" s="410">
        <v>2.1</v>
      </c>
      <c r="G2704" s="410">
        <v>0.9</v>
      </c>
      <c r="H2704" s="398" t="s">
        <v>26</v>
      </c>
      <c r="I2704" s="399">
        <f t="shared" si="124"/>
        <v>1.89</v>
      </c>
      <c r="J2704" s="396"/>
    </row>
    <row r="2705" spans="1:10" s="367" customFormat="1" ht="22.5" customHeight="1">
      <c r="A2705" s="395"/>
      <c r="B2705" s="401" t="s">
        <v>1508</v>
      </c>
      <c r="C2705" s="397">
        <v>1</v>
      </c>
      <c r="D2705" s="397">
        <v>1</v>
      </c>
      <c r="E2705" s="397">
        <v>1</v>
      </c>
      <c r="F2705" s="410">
        <v>1.8</v>
      </c>
      <c r="G2705" s="410">
        <v>0.9</v>
      </c>
      <c r="H2705" s="398" t="s">
        <v>26</v>
      </c>
      <c r="I2705" s="399">
        <f t="shared" si="124"/>
        <v>1.62</v>
      </c>
      <c r="J2705" s="396"/>
    </row>
    <row r="2706" spans="1:10" s="367" customFormat="1" ht="22.5" customHeight="1">
      <c r="A2706" s="395"/>
      <c r="B2706" s="401" t="s">
        <v>1552</v>
      </c>
      <c r="C2706" s="397">
        <v>1</v>
      </c>
      <c r="D2706" s="397">
        <v>1</v>
      </c>
      <c r="E2706" s="397">
        <v>1</v>
      </c>
      <c r="F2706" s="410">
        <v>2.1</v>
      </c>
      <c r="G2706" s="410">
        <v>0.9</v>
      </c>
      <c r="H2706" s="398" t="s">
        <v>26</v>
      </c>
      <c r="I2706" s="399">
        <f t="shared" si="124"/>
        <v>1.89</v>
      </c>
      <c r="J2706" s="396"/>
    </row>
    <row r="2707" spans="1:10" s="367" customFormat="1" ht="22.5" customHeight="1">
      <c r="A2707" s="395"/>
      <c r="B2707" s="401" t="s">
        <v>574</v>
      </c>
      <c r="C2707" s="397">
        <v>1</v>
      </c>
      <c r="D2707" s="397">
        <v>1</v>
      </c>
      <c r="E2707" s="397">
        <v>1</v>
      </c>
      <c r="F2707" s="410">
        <v>1.1299999999999999</v>
      </c>
      <c r="G2707" s="410">
        <v>0.9</v>
      </c>
      <c r="H2707" s="398" t="s">
        <v>26</v>
      </c>
      <c r="I2707" s="399">
        <f t="shared" si="124"/>
        <v>1.02</v>
      </c>
      <c r="J2707" s="396"/>
    </row>
    <row r="2708" spans="1:10" s="367" customFormat="1" ht="22.5" customHeight="1">
      <c r="A2708" s="395"/>
      <c r="B2708" s="401" t="s">
        <v>528</v>
      </c>
      <c r="C2708" s="397">
        <v>1</v>
      </c>
      <c r="D2708" s="397">
        <v>1</v>
      </c>
      <c r="E2708" s="397">
        <v>16</v>
      </c>
      <c r="F2708" s="410">
        <v>1.35</v>
      </c>
      <c r="G2708" s="410" t="s">
        <v>26</v>
      </c>
      <c r="H2708" s="398">
        <v>0.15</v>
      </c>
      <c r="I2708" s="399">
        <f t="shared" si="124"/>
        <v>3.24</v>
      </c>
      <c r="J2708" s="396"/>
    </row>
    <row r="2709" spans="1:10" s="367" customFormat="1" ht="22.5" customHeight="1">
      <c r="A2709" s="395"/>
      <c r="B2709" s="401" t="s">
        <v>528</v>
      </c>
      <c r="C2709" s="397">
        <v>1</v>
      </c>
      <c r="D2709" s="397">
        <v>2</v>
      </c>
      <c r="E2709" s="397">
        <v>16</v>
      </c>
      <c r="F2709" s="410">
        <v>0.5</v>
      </c>
      <c r="G2709" s="410">
        <v>0.3</v>
      </c>
      <c r="H2709" s="398">
        <v>0.15</v>
      </c>
      <c r="I2709" s="399">
        <f t="shared" si="124"/>
        <v>0.72</v>
      </c>
      <c r="J2709" s="396"/>
    </row>
    <row r="2710" spans="1:10" s="367" customFormat="1" ht="22.5" customHeight="1">
      <c r="A2710" s="395"/>
      <c r="B2710" s="396" t="s">
        <v>1553</v>
      </c>
      <c r="C2710" s="397"/>
      <c r="D2710" s="397"/>
      <c r="E2710" s="397"/>
      <c r="F2710" s="410"/>
      <c r="G2710" s="410"/>
      <c r="H2710" s="398"/>
      <c r="I2710" s="399"/>
      <c r="J2710" s="396"/>
    </row>
    <row r="2711" spans="1:10" s="367" customFormat="1" ht="22.5" customHeight="1">
      <c r="A2711" s="395"/>
      <c r="B2711" s="401" t="s">
        <v>1507</v>
      </c>
      <c r="C2711" s="397">
        <v>1</v>
      </c>
      <c r="D2711" s="397">
        <v>1</v>
      </c>
      <c r="E2711" s="397">
        <v>1</v>
      </c>
      <c r="F2711" s="410">
        <v>3</v>
      </c>
      <c r="G2711" s="410">
        <v>0.9</v>
      </c>
      <c r="H2711" s="398" t="s">
        <v>26</v>
      </c>
      <c r="I2711" s="399">
        <f>PRODUCT(C2711:H2711)</f>
        <v>2.7</v>
      </c>
      <c r="J2711" s="396"/>
    </row>
    <row r="2712" spans="1:10" s="367" customFormat="1" ht="22.5" customHeight="1">
      <c r="A2712" s="395"/>
      <c r="B2712" s="401" t="s">
        <v>574</v>
      </c>
      <c r="C2712" s="397">
        <v>1</v>
      </c>
      <c r="D2712" s="397">
        <v>1</v>
      </c>
      <c r="E2712" s="397">
        <v>1</v>
      </c>
      <c r="F2712" s="410">
        <v>1.1299999999999999</v>
      </c>
      <c r="G2712" s="410">
        <v>0.9</v>
      </c>
      <c r="H2712" s="398" t="s">
        <v>26</v>
      </c>
      <c r="I2712" s="399">
        <f>PRODUCT(C2712:H2712)</f>
        <v>1.02</v>
      </c>
      <c r="J2712" s="396"/>
    </row>
    <row r="2713" spans="1:10" s="367" customFormat="1" ht="22.5" customHeight="1">
      <c r="A2713" s="395"/>
      <c r="B2713" s="401" t="s">
        <v>528</v>
      </c>
      <c r="C2713" s="397">
        <v>1</v>
      </c>
      <c r="D2713" s="397">
        <v>1</v>
      </c>
      <c r="E2713" s="397">
        <v>9</v>
      </c>
      <c r="F2713" s="410">
        <v>1.35</v>
      </c>
      <c r="G2713" s="410" t="s">
        <v>26</v>
      </c>
      <c r="H2713" s="398">
        <v>0.15</v>
      </c>
      <c r="I2713" s="399">
        <f>PRODUCT(C2713:H2713)</f>
        <v>1.82</v>
      </c>
      <c r="J2713" s="396"/>
    </row>
    <row r="2714" spans="1:10" s="367" customFormat="1" ht="22.5" customHeight="1">
      <c r="A2714" s="395"/>
      <c r="B2714" s="401" t="s">
        <v>528</v>
      </c>
      <c r="C2714" s="397">
        <v>1</v>
      </c>
      <c r="D2714" s="397">
        <v>2</v>
      </c>
      <c r="E2714" s="397">
        <v>9</v>
      </c>
      <c r="F2714" s="410">
        <v>0.5</v>
      </c>
      <c r="G2714" s="410">
        <v>0.3</v>
      </c>
      <c r="H2714" s="398">
        <v>0.15</v>
      </c>
      <c r="I2714" s="399">
        <f>PRODUCT(C2714:H2714)</f>
        <v>0.41</v>
      </c>
      <c r="J2714" s="396"/>
    </row>
    <row r="2715" spans="1:10" s="367" customFormat="1" ht="22.5" customHeight="1">
      <c r="A2715" s="395"/>
      <c r="B2715" s="396" t="s">
        <v>1554</v>
      </c>
      <c r="C2715" s="397"/>
      <c r="D2715" s="397"/>
      <c r="E2715" s="397"/>
      <c r="F2715" s="410"/>
      <c r="G2715" s="410"/>
      <c r="H2715" s="410"/>
      <c r="I2715" s="399"/>
      <c r="J2715" s="396"/>
    </row>
    <row r="2716" spans="1:10" s="367" customFormat="1" ht="22.5" customHeight="1">
      <c r="A2716" s="395"/>
      <c r="B2716" s="401" t="s">
        <v>1555</v>
      </c>
      <c r="C2716" s="397">
        <v>1</v>
      </c>
      <c r="D2716" s="397">
        <v>1</v>
      </c>
      <c r="E2716" s="397">
        <v>8</v>
      </c>
      <c r="F2716" s="410">
        <v>3.93</v>
      </c>
      <c r="G2716" s="410">
        <v>4.29</v>
      </c>
      <c r="H2716" s="410" t="s">
        <v>26</v>
      </c>
      <c r="I2716" s="399">
        <f t="shared" ref="I2716:I2721" si="125">PRODUCT(C2716:H2716)</f>
        <v>134.88</v>
      </c>
      <c r="J2716" s="396"/>
    </row>
    <row r="2717" spans="1:10" s="367" customFormat="1" ht="22.5" customHeight="1">
      <c r="A2717" s="395"/>
      <c r="B2717" s="401" t="s">
        <v>1556</v>
      </c>
      <c r="C2717" s="397">
        <v>1</v>
      </c>
      <c r="D2717" s="397">
        <v>1</v>
      </c>
      <c r="E2717" s="397">
        <v>8</v>
      </c>
      <c r="F2717" s="410">
        <v>16.43</v>
      </c>
      <c r="G2717" s="410" t="s">
        <v>26</v>
      </c>
      <c r="H2717" s="410">
        <v>0.45</v>
      </c>
      <c r="I2717" s="399">
        <f t="shared" si="125"/>
        <v>59.15</v>
      </c>
      <c r="J2717" s="396"/>
    </row>
    <row r="2718" spans="1:10" s="367" customFormat="1" ht="22.5" customHeight="1">
      <c r="A2718" s="395"/>
      <c r="B2718" s="401" t="s">
        <v>1557</v>
      </c>
      <c r="C2718" s="397">
        <v>1</v>
      </c>
      <c r="D2718" s="397">
        <v>1</v>
      </c>
      <c r="E2718" s="397">
        <v>8</v>
      </c>
      <c r="F2718" s="410">
        <v>14.59</v>
      </c>
      <c r="G2718" s="410" t="s">
        <v>26</v>
      </c>
      <c r="H2718" s="410">
        <v>0.3</v>
      </c>
      <c r="I2718" s="399">
        <f t="shared" si="125"/>
        <v>35.020000000000003</v>
      </c>
      <c r="J2718" s="396"/>
    </row>
    <row r="2719" spans="1:10" s="367" customFormat="1" ht="22.5" customHeight="1">
      <c r="A2719" s="395"/>
      <c r="B2719" s="401" t="s">
        <v>1558</v>
      </c>
      <c r="C2719" s="397">
        <v>1</v>
      </c>
      <c r="D2719" s="397">
        <v>1</v>
      </c>
      <c r="E2719" s="397">
        <v>8</v>
      </c>
      <c r="F2719" s="410">
        <v>3.47</v>
      </c>
      <c r="G2719" s="410">
        <v>3.83</v>
      </c>
      <c r="H2719" s="410" t="s">
        <v>26</v>
      </c>
      <c r="I2719" s="399">
        <f t="shared" si="125"/>
        <v>106.32</v>
      </c>
      <c r="J2719" s="396"/>
    </row>
    <row r="2720" spans="1:10" s="367" customFormat="1" ht="22.5" customHeight="1">
      <c r="A2720" s="395"/>
      <c r="B2720" s="401" t="s">
        <v>1559</v>
      </c>
      <c r="C2720" s="397">
        <v>1</v>
      </c>
      <c r="D2720" s="397">
        <v>1</v>
      </c>
      <c r="E2720" s="397">
        <v>8</v>
      </c>
      <c r="F2720" s="410">
        <v>16.43</v>
      </c>
      <c r="G2720" s="410" t="s">
        <v>26</v>
      </c>
      <c r="H2720" s="410">
        <v>0.15</v>
      </c>
      <c r="I2720" s="399">
        <f t="shared" si="125"/>
        <v>19.72</v>
      </c>
      <c r="J2720" s="396"/>
    </row>
    <row r="2721" spans="1:30" s="367" customFormat="1" ht="22.5" customHeight="1">
      <c r="A2721" s="395"/>
      <c r="B2721" s="401" t="s">
        <v>1560</v>
      </c>
      <c r="C2721" s="397">
        <v>1</v>
      </c>
      <c r="D2721" s="397">
        <v>4</v>
      </c>
      <c r="E2721" s="397">
        <v>8</v>
      </c>
      <c r="F2721" s="410">
        <v>2.4</v>
      </c>
      <c r="G2721" s="410" t="s">
        <v>26</v>
      </c>
      <c r="H2721" s="410">
        <v>0.15</v>
      </c>
      <c r="I2721" s="399">
        <f t="shared" si="125"/>
        <v>11.52</v>
      </c>
      <c r="J2721" s="396"/>
    </row>
    <row r="2722" spans="1:30" s="367" customFormat="1" ht="22.5" customHeight="1">
      <c r="A2722" s="395"/>
      <c r="B2722" s="396" t="s">
        <v>944</v>
      </c>
      <c r="C2722" s="397"/>
      <c r="D2722" s="397"/>
      <c r="E2722" s="397"/>
      <c r="F2722" s="410"/>
      <c r="G2722" s="410"/>
      <c r="H2722" s="410"/>
      <c r="I2722" s="399"/>
      <c r="J2722" s="396"/>
    </row>
    <row r="2723" spans="1:30" s="367" customFormat="1" ht="22.5" customHeight="1">
      <c r="A2723" s="395"/>
      <c r="B2723" s="401" t="s">
        <v>1560</v>
      </c>
      <c r="C2723" s="397">
        <v>-1</v>
      </c>
      <c r="D2723" s="397">
        <v>4</v>
      </c>
      <c r="E2723" s="397">
        <v>8</v>
      </c>
      <c r="F2723" s="410">
        <v>0.6</v>
      </c>
      <c r="G2723" s="410">
        <v>0.6</v>
      </c>
      <c r="H2723" s="398" t="s">
        <v>26</v>
      </c>
      <c r="I2723" s="399">
        <f t="shared" ref="I2723:I2732" si="126">PRODUCT(C2723:H2723)</f>
        <v>-11.52</v>
      </c>
      <c r="J2723" s="396"/>
    </row>
    <row r="2724" spans="1:30" s="367" customFormat="1" ht="22.5" customHeight="1">
      <c r="A2724" s="395"/>
      <c r="B2724" s="401" t="s">
        <v>1402</v>
      </c>
      <c r="C2724" s="397">
        <v>-1</v>
      </c>
      <c r="D2724" s="397">
        <v>2</v>
      </c>
      <c r="E2724" s="397">
        <v>8</v>
      </c>
      <c r="F2724" s="410">
        <v>1.22</v>
      </c>
      <c r="G2724" s="410">
        <v>1.43</v>
      </c>
      <c r="H2724" s="398" t="s">
        <v>26</v>
      </c>
      <c r="I2724" s="399">
        <f t="shared" si="126"/>
        <v>-27.91</v>
      </c>
      <c r="J2724" s="396"/>
    </row>
    <row r="2725" spans="1:30" s="367" customFormat="1" ht="22.5" customHeight="1">
      <c r="A2725" s="395"/>
      <c r="B2725" s="401" t="s">
        <v>1561</v>
      </c>
      <c r="C2725" s="397">
        <v>1</v>
      </c>
      <c r="D2725" s="397">
        <v>1</v>
      </c>
      <c r="E2725" s="397">
        <v>2</v>
      </c>
      <c r="F2725" s="410">
        <v>3.93</v>
      </c>
      <c r="G2725" s="410">
        <v>9.36</v>
      </c>
      <c r="H2725" s="410" t="s">
        <v>26</v>
      </c>
      <c r="I2725" s="399">
        <f t="shared" si="126"/>
        <v>73.569999999999993</v>
      </c>
      <c r="J2725" s="396"/>
    </row>
    <row r="2726" spans="1:30" s="367" customFormat="1" ht="22.5" customHeight="1">
      <c r="A2726" s="395"/>
      <c r="B2726" s="401" t="s">
        <v>1562</v>
      </c>
      <c r="C2726" s="397">
        <v>1</v>
      </c>
      <c r="D2726" s="397">
        <v>1</v>
      </c>
      <c r="E2726" s="397">
        <v>2</v>
      </c>
      <c r="F2726" s="410">
        <v>26.56</v>
      </c>
      <c r="G2726" s="410" t="s">
        <v>26</v>
      </c>
      <c r="H2726" s="410">
        <v>0.45</v>
      </c>
      <c r="I2726" s="399">
        <f t="shared" si="126"/>
        <v>23.9</v>
      </c>
      <c r="J2726" s="396"/>
    </row>
    <row r="2727" spans="1:30" s="367" customFormat="1" ht="22.5" customHeight="1">
      <c r="A2727" s="395"/>
      <c r="B2727" s="401" t="s">
        <v>1563</v>
      </c>
      <c r="C2727" s="397">
        <v>1</v>
      </c>
      <c r="D2727" s="397">
        <v>1</v>
      </c>
      <c r="E2727" s="397">
        <v>2</v>
      </c>
      <c r="F2727" s="410">
        <v>16.600000000000001</v>
      </c>
      <c r="G2727" s="410" t="s">
        <v>26</v>
      </c>
      <c r="H2727" s="410">
        <v>0.3</v>
      </c>
      <c r="I2727" s="399">
        <f t="shared" si="126"/>
        <v>9.9600000000000009</v>
      </c>
      <c r="J2727" s="396"/>
    </row>
    <row r="2728" spans="1:30" s="367" customFormat="1" ht="22.5" customHeight="1">
      <c r="A2728" s="395"/>
      <c r="B2728" s="401" t="s">
        <v>1557</v>
      </c>
      <c r="C2728" s="397">
        <v>1</v>
      </c>
      <c r="D2728" s="397">
        <v>1</v>
      </c>
      <c r="E2728" s="397">
        <v>2</v>
      </c>
      <c r="F2728" s="410">
        <v>14.59</v>
      </c>
      <c r="G2728" s="410" t="s">
        <v>26</v>
      </c>
      <c r="H2728" s="410">
        <v>0.3</v>
      </c>
      <c r="I2728" s="399">
        <f t="shared" si="126"/>
        <v>8.75</v>
      </c>
      <c r="J2728" s="396"/>
    </row>
    <row r="2729" spans="1:30" s="367" customFormat="1" ht="22.5" customHeight="1">
      <c r="A2729" s="395"/>
      <c r="B2729" s="401" t="s">
        <v>1558</v>
      </c>
      <c r="C2729" s="397">
        <v>1</v>
      </c>
      <c r="D2729" s="397">
        <v>1</v>
      </c>
      <c r="E2729" s="397">
        <v>2</v>
      </c>
      <c r="F2729" s="410">
        <v>3.47</v>
      </c>
      <c r="G2729" s="410">
        <v>3.83</v>
      </c>
      <c r="H2729" s="410" t="s">
        <v>26</v>
      </c>
      <c r="I2729" s="399">
        <f t="shared" si="126"/>
        <v>26.58</v>
      </c>
      <c r="J2729" s="396"/>
    </row>
    <row r="2730" spans="1:30" s="367" customFormat="1" ht="22.5" customHeight="1">
      <c r="A2730" s="395"/>
      <c r="B2730" s="401" t="s">
        <v>1564</v>
      </c>
      <c r="C2730" s="397">
        <v>1</v>
      </c>
      <c r="D2730" s="397">
        <v>1</v>
      </c>
      <c r="E2730" s="397">
        <v>2</v>
      </c>
      <c r="F2730" s="410">
        <v>3.47</v>
      </c>
      <c r="G2730" s="410">
        <v>4.84</v>
      </c>
      <c r="H2730" s="410" t="s">
        <v>26</v>
      </c>
      <c r="I2730" s="399">
        <f t="shared" si="126"/>
        <v>33.590000000000003</v>
      </c>
      <c r="J2730" s="396"/>
    </row>
    <row r="2731" spans="1:30" s="367" customFormat="1" ht="22.5" customHeight="1">
      <c r="A2731" s="395"/>
      <c r="B2731" s="401" t="s">
        <v>1565</v>
      </c>
      <c r="C2731" s="397">
        <v>1</v>
      </c>
      <c r="D2731" s="397">
        <v>1</v>
      </c>
      <c r="E2731" s="397">
        <v>2</v>
      </c>
      <c r="F2731" s="410">
        <v>26.56</v>
      </c>
      <c r="G2731" s="410" t="s">
        <v>26</v>
      </c>
      <c r="H2731" s="410">
        <v>0.15</v>
      </c>
      <c r="I2731" s="399">
        <f t="shared" si="126"/>
        <v>7.97</v>
      </c>
      <c r="J2731" s="396"/>
    </row>
    <row r="2732" spans="1:30" s="367" customFormat="1" ht="22.5" customHeight="1">
      <c r="A2732" s="395"/>
      <c r="B2732" s="401" t="s">
        <v>1560</v>
      </c>
      <c r="C2732" s="397">
        <v>1</v>
      </c>
      <c r="D2732" s="397">
        <v>8</v>
      </c>
      <c r="E2732" s="397">
        <v>2</v>
      </c>
      <c r="F2732" s="410">
        <v>2.4</v>
      </c>
      <c r="G2732" s="410" t="s">
        <v>26</v>
      </c>
      <c r="H2732" s="410">
        <v>0.15</v>
      </c>
      <c r="I2732" s="399">
        <f t="shared" si="126"/>
        <v>5.76</v>
      </c>
      <c r="J2732" s="396"/>
    </row>
    <row r="2733" spans="1:30" s="367" customFormat="1" ht="22.5" customHeight="1">
      <c r="A2733" s="395"/>
      <c r="B2733" s="396" t="s">
        <v>944</v>
      </c>
      <c r="C2733" s="397"/>
      <c r="D2733" s="397"/>
      <c r="E2733" s="397"/>
      <c r="F2733" s="410"/>
      <c r="G2733" s="410"/>
      <c r="H2733" s="410"/>
      <c r="I2733" s="399"/>
      <c r="J2733" s="396"/>
    </row>
    <row r="2734" spans="1:30" s="367" customFormat="1" ht="22.5" customHeight="1">
      <c r="A2734" s="395"/>
      <c r="B2734" s="401" t="s">
        <v>1560</v>
      </c>
      <c r="C2734" s="397">
        <v>-1</v>
      </c>
      <c r="D2734" s="397">
        <v>8</v>
      </c>
      <c r="E2734" s="397">
        <v>2</v>
      </c>
      <c r="F2734" s="410">
        <v>0.6</v>
      </c>
      <c r="G2734" s="410">
        <v>0.6</v>
      </c>
      <c r="H2734" s="398" t="s">
        <v>26</v>
      </c>
      <c r="I2734" s="399">
        <f>PRODUCT(C2734:H2734)</f>
        <v>-5.76</v>
      </c>
      <c r="J2734" s="396"/>
    </row>
    <row r="2735" spans="1:30" s="367" customFormat="1" ht="22.5" customHeight="1">
      <c r="A2735" s="395"/>
      <c r="B2735" s="401" t="s">
        <v>1402</v>
      </c>
      <c r="C2735" s="397">
        <v>-1</v>
      </c>
      <c r="D2735" s="397">
        <v>2</v>
      </c>
      <c r="E2735" s="397">
        <v>2</v>
      </c>
      <c r="F2735" s="410">
        <v>1.22</v>
      </c>
      <c r="G2735" s="410">
        <v>1.43</v>
      </c>
      <c r="H2735" s="398" t="s">
        <v>26</v>
      </c>
      <c r="I2735" s="399">
        <f>PRODUCT(C2735:H2735)</f>
        <v>-6.98</v>
      </c>
      <c r="J2735" s="396"/>
    </row>
    <row r="2736" spans="1:30" s="2" customFormat="1" ht="23.25" customHeight="1">
      <c r="A2736" s="278"/>
      <c r="B2736" s="279"/>
      <c r="C2736" s="280"/>
      <c r="D2736" s="280"/>
      <c r="E2736" s="280"/>
      <c r="F2736" s="282"/>
      <c r="G2736" s="597" t="s">
        <v>494</v>
      </c>
      <c r="H2736" s="598"/>
      <c r="I2736" s="416">
        <f>SUM(I2193:I2735)</f>
        <v>19656.91</v>
      </c>
      <c r="J2736" s="287" t="s">
        <v>4</v>
      </c>
      <c r="K2736" s="42"/>
      <c r="L2736" s="42"/>
      <c r="M2736" s="42">
        <f>0.1+0.1+0.55</f>
        <v>0.75</v>
      </c>
      <c r="N2736" s="9"/>
      <c r="O2736" s="9"/>
      <c r="P2736" s="9"/>
      <c r="Q2736" s="9"/>
      <c r="R2736" s="9"/>
      <c r="S2736" s="9"/>
      <c r="T2736" s="9"/>
      <c r="U2736" s="9"/>
      <c r="V2736" s="9"/>
      <c r="W2736" s="9"/>
      <c r="X2736" s="9"/>
      <c r="Y2736" s="9"/>
      <c r="Z2736" s="9"/>
      <c r="AA2736" s="9"/>
      <c r="AB2736" s="9"/>
      <c r="AC2736" s="9"/>
      <c r="AD2736" s="9"/>
    </row>
    <row r="2737" spans="1:30" s="2" customFormat="1" ht="23.25" customHeight="1">
      <c r="A2737" s="278"/>
      <c r="B2737" s="279"/>
      <c r="C2737" s="280"/>
      <c r="D2737" s="280"/>
      <c r="E2737" s="280"/>
      <c r="F2737" s="282"/>
      <c r="G2737" s="597" t="s">
        <v>55</v>
      </c>
      <c r="H2737" s="598"/>
      <c r="I2737" s="416">
        <f>ROUNDUP(I2736,1)</f>
        <v>19657</v>
      </c>
      <c r="J2737" s="287" t="s">
        <v>4</v>
      </c>
      <c r="K2737" s="42"/>
      <c r="L2737" s="42"/>
      <c r="M2737" s="42"/>
      <c r="N2737" s="9"/>
      <c r="O2737" s="9"/>
      <c r="P2737" s="9"/>
      <c r="Q2737" s="9"/>
      <c r="R2737" s="9"/>
      <c r="S2737" s="9"/>
      <c r="T2737" s="9"/>
      <c r="U2737" s="9"/>
      <c r="V2737" s="9"/>
      <c r="W2737" s="9"/>
      <c r="X2737" s="9"/>
      <c r="Y2737" s="9"/>
      <c r="Z2737" s="9"/>
      <c r="AA2737" s="9"/>
      <c r="AB2737" s="9"/>
      <c r="AC2737" s="9"/>
      <c r="AD2737" s="9"/>
    </row>
    <row r="2738" spans="1:30" s="91" customFormat="1" ht="35.25" customHeight="1">
      <c r="A2738" s="278"/>
      <c r="B2738" s="286" t="s">
        <v>493</v>
      </c>
      <c r="C2738" s="278"/>
      <c r="D2738" s="280"/>
      <c r="E2738" s="278"/>
      <c r="F2738" s="282"/>
      <c r="G2738" s="282"/>
      <c r="H2738" s="282"/>
      <c r="I2738" s="283"/>
      <c r="J2738" s="278"/>
      <c r="K2738" s="46"/>
      <c r="L2738" s="46"/>
      <c r="M2738" s="46"/>
    </row>
    <row r="2739" spans="1:30" s="91" customFormat="1" ht="23.25" customHeight="1">
      <c r="A2739" s="278"/>
      <c r="B2739" s="286" t="s">
        <v>482</v>
      </c>
      <c r="C2739" s="280"/>
      <c r="D2739" s="280"/>
      <c r="E2739" s="280"/>
      <c r="F2739" s="282"/>
      <c r="G2739" s="282"/>
      <c r="H2739" s="282"/>
      <c r="I2739" s="283"/>
      <c r="J2739" s="278"/>
      <c r="K2739" s="46"/>
      <c r="L2739" s="46"/>
      <c r="M2739" s="46"/>
    </row>
    <row r="2740" spans="1:30" s="2" customFormat="1" ht="18.75" customHeight="1">
      <c r="A2740" s="278"/>
      <c r="B2740" s="432" t="s">
        <v>930</v>
      </c>
      <c r="C2740" s="428"/>
      <c r="D2740" s="428"/>
      <c r="E2740" s="428"/>
      <c r="F2740" s="430"/>
      <c r="G2740" s="430"/>
      <c r="H2740" s="430"/>
      <c r="I2740" s="430"/>
      <c r="J2740" s="284"/>
      <c r="K2740" s="43">
        <f>0.23+0.45</f>
        <v>0.68</v>
      </c>
      <c r="L2740" s="43">
        <f t="shared" ref="L2740:L2747" si="127">K2740*2</f>
        <v>1.36</v>
      </c>
      <c r="M2740" s="43"/>
      <c r="N2740" s="9"/>
      <c r="O2740" s="9"/>
      <c r="P2740" s="9"/>
      <c r="Q2740" s="9"/>
      <c r="R2740" s="9"/>
      <c r="S2740" s="9"/>
      <c r="T2740" s="9"/>
      <c r="U2740" s="9"/>
      <c r="V2740" s="9"/>
      <c r="W2740" s="9"/>
      <c r="X2740" s="9"/>
      <c r="Y2740" s="9"/>
      <c r="Z2740" s="9"/>
      <c r="AA2740" s="9"/>
      <c r="AB2740" s="9"/>
      <c r="AC2740" s="9"/>
      <c r="AD2740" s="9"/>
    </row>
    <row r="2741" spans="1:30" s="2" customFormat="1" ht="18.75" customHeight="1">
      <c r="A2741" s="278"/>
      <c r="B2741" s="427" t="s">
        <v>931</v>
      </c>
      <c r="C2741" s="428">
        <v>1</v>
      </c>
      <c r="D2741" s="428">
        <v>1</v>
      </c>
      <c r="E2741" s="428">
        <v>79</v>
      </c>
      <c r="F2741" s="430">
        <v>1.5</v>
      </c>
      <c r="G2741" s="430"/>
      <c r="H2741" s="430">
        <v>1.65</v>
      </c>
      <c r="I2741" s="430">
        <f t="shared" ref="I2741:I2747" si="128">PRODUCT(C2741:H2741)</f>
        <v>195.53</v>
      </c>
      <c r="J2741" s="284"/>
      <c r="K2741" s="43">
        <f>0.23+0.75</f>
        <v>0.98</v>
      </c>
      <c r="L2741" s="43">
        <f t="shared" si="127"/>
        <v>1.96</v>
      </c>
      <c r="M2741" s="43"/>
      <c r="N2741" s="9"/>
      <c r="O2741" s="9"/>
      <c r="P2741" s="9"/>
      <c r="Q2741" s="9"/>
      <c r="R2741" s="9"/>
      <c r="S2741" s="9"/>
      <c r="T2741" s="9"/>
      <c r="U2741" s="9"/>
      <c r="V2741" s="9"/>
      <c r="W2741" s="9"/>
      <c r="X2741" s="9"/>
      <c r="Y2741" s="9"/>
      <c r="Z2741" s="9"/>
      <c r="AA2741" s="9"/>
      <c r="AB2741" s="9"/>
      <c r="AC2741" s="9"/>
      <c r="AD2741" s="9"/>
    </row>
    <row r="2742" spans="1:30" s="2" customFormat="1" ht="18.75" customHeight="1">
      <c r="A2742" s="278"/>
      <c r="B2742" s="427" t="s">
        <v>75</v>
      </c>
      <c r="C2742" s="428">
        <v>1</v>
      </c>
      <c r="D2742" s="428">
        <v>1</v>
      </c>
      <c r="E2742" s="428">
        <v>54</v>
      </c>
      <c r="F2742" s="430">
        <v>1.8</v>
      </c>
      <c r="G2742" s="430"/>
      <c r="H2742" s="430">
        <v>1.65</v>
      </c>
      <c r="I2742" s="430">
        <f t="shared" si="128"/>
        <v>160.38</v>
      </c>
      <c r="J2742" s="284"/>
      <c r="K2742" s="43"/>
      <c r="L2742" s="43">
        <f t="shared" si="127"/>
        <v>0</v>
      </c>
      <c r="M2742" s="43"/>
      <c r="N2742" s="9"/>
      <c r="O2742" s="9"/>
      <c r="P2742" s="9"/>
      <c r="Q2742" s="9"/>
      <c r="R2742" s="9"/>
      <c r="S2742" s="9"/>
      <c r="T2742" s="9"/>
      <c r="U2742" s="9"/>
      <c r="V2742" s="9"/>
      <c r="W2742" s="9"/>
      <c r="X2742" s="9"/>
      <c r="Y2742" s="9"/>
      <c r="Z2742" s="9"/>
      <c r="AA2742" s="9"/>
      <c r="AB2742" s="9"/>
      <c r="AC2742" s="9"/>
      <c r="AD2742" s="9"/>
    </row>
    <row r="2743" spans="1:30" s="2" customFormat="1" ht="18.75" customHeight="1">
      <c r="A2743" s="278"/>
      <c r="B2743" s="427" t="s">
        <v>76</v>
      </c>
      <c r="C2743" s="428">
        <v>1</v>
      </c>
      <c r="D2743" s="428">
        <v>1</v>
      </c>
      <c r="E2743" s="428">
        <v>3</v>
      </c>
      <c r="F2743" s="430">
        <v>1.8</v>
      </c>
      <c r="G2743" s="430"/>
      <c r="H2743" s="430">
        <v>1.65</v>
      </c>
      <c r="I2743" s="430">
        <f t="shared" si="128"/>
        <v>8.91</v>
      </c>
      <c r="J2743" s="284"/>
      <c r="K2743" s="43">
        <f>0.23+0.9</f>
        <v>1.1299999999999999</v>
      </c>
      <c r="L2743" s="43">
        <f t="shared" si="127"/>
        <v>2.2599999999999998</v>
      </c>
      <c r="M2743" s="43"/>
      <c r="N2743" s="9"/>
      <c r="O2743" s="9"/>
      <c r="P2743" s="9"/>
      <c r="Q2743" s="9"/>
      <c r="R2743" s="9"/>
      <c r="S2743" s="9"/>
      <c r="T2743" s="9"/>
      <c r="U2743" s="9"/>
      <c r="V2743" s="9"/>
      <c r="W2743" s="9"/>
      <c r="X2743" s="9"/>
      <c r="Y2743" s="9"/>
      <c r="Z2743" s="9"/>
      <c r="AA2743" s="9"/>
      <c r="AB2743" s="9"/>
      <c r="AC2743" s="9"/>
      <c r="AD2743" s="9"/>
    </row>
    <row r="2744" spans="1:30" s="2" customFormat="1" ht="18.75" customHeight="1">
      <c r="A2744" s="278"/>
      <c r="B2744" s="427" t="s">
        <v>485</v>
      </c>
      <c r="C2744" s="428">
        <v>1</v>
      </c>
      <c r="D2744" s="428">
        <v>1</v>
      </c>
      <c r="E2744" s="428">
        <v>7</v>
      </c>
      <c r="F2744" s="430">
        <v>2.1</v>
      </c>
      <c r="G2744" s="430"/>
      <c r="H2744" s="430">
        <v>1.65</v>
      </c>
      <c r="I2744" s="430">
        <f t="shared" si="128"/>
        <v>24.26</v>
      </c>
      <c r="J2744" s="284"/>
      <c r="K2744" s="43">
        <f>0.23+0.6</f>
        <v>0.83</v>
      </c>
      <c r="L2744" s="43">
        <f t="shared" si="127"/>
        <v>1.66</v>
      </c>
      <c r="M2744" s="43"/>
      <c r="N2744" s="9"/>
      <c r="O2744" s="9"/>
      <c r="P2744" s="9"/>
      <c r="Q2744" s="9"/>
      <c r="R2744" s="9"/>
      <c r="S2744" s="9"/>
      <c r="T2744" s="9"/>
      <c r="U2744" s="9"/>
      <c r="V2744" s="9"/>
      <c r="W2744" s="9"/>
      <c r="X2744" s="9"/>
      <c r="Y2744" s="9"/>
      <c r="Z2744" s="9"/>
      <c r="AA2744" s="9"/>
      <c r="AB2744" s="9"/>
      <c r="AC2744" s="9"/>
      <c r="AD2744" s="9"/>
    </row>
    <row r="2745" spans="1:30" s="2" customFormat="1" ht="18.75" customHeight="1">
      <c r="A2745" s="278"/>
      <c r="B2745" s="427" t="s">
        <v>487</v>
      </c>
      <c r="C2745" s="428">
        <v>1</v>
      </c>
      <c r="D2745" s="428">
        <v>1</v>
      </c>
      <c r="E2745" s="428">
        <v>1</v>
      </c>
      <c r="F2745" s="430">
        <v>2.2599999999999998</v>
      </c>
      <c r="G2745" s="430"/>
      <c r="H2745" s="430">
        <v>1.65</v>
      </c>
      <c r="I2745" s="430">
        <f t="shared" si="128"/>
        <v>3.73</v>
      </c>
      <c r="J2745" s="284"/>
      <c r="K2745" s="43">
        <f>0.23+0.75</f>
        <v>0.98</v>
      </c>
      <c r="L2745" s="43">
        <f t="shared" si="127"/>
        <v>1.96</v>
      </c>
      <c r="M2745" s="43"/>
      <c r="N2745" s="9"/>
      <c r="O2745" s="9"/>
      <c r="P2745" s="9"/>
      <c r="Q2745" s="9"/>
      <c r="R2745" s="9"/>
      <c r="S2745" s="9"/>
      <c r="T2745" s="9"/>
      <c r="U2745" s="9"/>
      <c r="V2745" s="9"/>
      <c r="W2745" s="9"/>
      <c r="X2745" s="9"/>
      <c r="Y2745" s="9"/>
      <c r="Z2745" s="9"/>
      <c r="AA2745" s="9"/>
      <c r="AB2745" s="9"/>
      <c r="AC2745" s="9"/>
      <c r="AD2745" s="9"/>
    </row>
    <row r="2746" spans="1:30" s="2" customFormat="1" ht="18.75" customHeight="1">
      <c r="A2746" s="278"/>
      <c r="B2746" s="427" t="s">
        <v>932</v>
      </c>
      <c r="C2746" s="428">
        <v>1</v>
      </c>
      <c r="D2746" s="428">
        <v>1</v>
      </c>
      <c r="E2746" s="428">
        <v>2</v>
      </c>
      <c r="F2746" s="430">
        <v>10.24</v>
      </c>
      <c r="G2746" s="430"/>
      <c r="H2746" s="430">
        <v>1.65</v>
      </c>
      <c r="I2746" s="430">
        <f t="shared" si="128"/>
        <v>33.79</v>
      </c>
      <c r="J2746" s="284"/>
      <c r="K2746" s="43">
        <f>0.3+0.45</f>
        <v>0.75</v>
      </c>
      <c r="L2746" s="43">
        <f t="shared" si="127"/>
        <v>1.5</v>
      </c>
      <c r="M2746" s="43"/>
      <c r="N2746" s="9"/>
      <c r="O2746" s="9"/>
      <c r="P2746" s="9"/>
      <c r="Q2746" s="9"/>
      <c r="R2746" s="9"/>
      <c r="S2746" s="9"/>
      <c r="T2746" s="9"/>
      <c r="U2746" s="9"/>
      <c r="V2746" s="9"/>
      <c r="W2746" s="9"/>
      <c r="X2746" s="9"/>
      <c r="Y2746" s="9"/>
      <c r="Z2746" s="9"/>
      <c r="AA2746" s="9"/>
      <c r="AB2746" s="9"/>
      <c r="AC2746" s="9"/>
      <c r="AD2746" s="9"/>
    </row>
    <row r="2747" spans="1:30" s="2" customFormat="1" ht="18.75" customHeight="1">
      <c r="A2747" s="278"/>
      <c r="B2747" s="427" t="s">
        <v>933</v>
      </c>
      <c r="C2747" s="428">
        <v>1</v>
      </c>
      <c r="D2747" s="428">
        <v>1</v>
      </c>
      <c r="E2747" s="428">
        <v>1</v>
      </c>
      <c r="F2747" s="430">
        <v>12.44</v>
      </c>
      <c r="G2747" s="430"/>
      <c r="H2747" s="430">
        <v>1.65</v>
      </c>
      <c r="I2747" s="430">
        <f t="shared" si="128"/>
        <v>20.53</v>
      </c>
      <c r="J2747" s="284"/>
      <c r="K2747" s="43">
        <f>0.3+0.6</f>
        <v>0.9</v>
      </c>
      <c r="L2747" s="43">
        <f t="shared" si="127"/>
        <v>1.8</v>
      </c>
      <c r="M2747" s="43"/>
      <c r="N2747" s="9"/>
      <c r="O2747" s="9"/>
      <c r="P2747" s="9"/>
      <c r="Q2747" s="9"/>
      <c r="R2747" s="9"/>
      <c r="S2747" s="9"/>
      <c r="T2747" s="9"/>
      <c r="U2747" s="9"/>
      <c r="V2747" s="9"/>
      <c r="W2747" s="9"/>
      <c r="X2747" s="9"/>
      <c r="Y2747" s="9"/>
      <c r="Z2747" s="9"/>
      <c r="AA2747" s="9"/>
      <c r="AB2747" s="9"/>
      <c r="AC2747" s="9"/>
      <c r="AD2747" s="9"/>
    </row>
    <row r="2748" spans="1:30" s="2" customFormat="1" ht="18.75" customHeight="1">
      <c r="A2748" s="278"/>
      <c r="B2748" s="432" t="s">
        <v>1258</v>
      </c>
      <c r="C2748" s="428"/>
      <c r="D2748" s="428"/>
      <c r="E2748" s="428"/>
      <c r="F2748" s="430"/>
      <c r="G2748" s="430"/>
      <c r="H2748" s="430"/>
      <c r="I2748" s="430"/>
      <c r="J2748" s="284"/>
      <c r="K2748" s="43">
        <f>0.23+0.45</f>
        <v>0.68</v>
      </c>
      <c r="L2748" s="43">
        <f t="shared" ref="L2748:L2755" si="129">K2748*2</f>
        <v>1.36</v>
      </c>
      <c r="M2748" s="43"/>
      <c r="N2748" s="9"/>
      <c r="O2748" s="9"/>
      <c r="P2748" s="9"/>
      <c r="Q2748" s="9"/>
      <c r="R2748" s="9"/>
      <c r="S2748" s="9"/>
      <c r="T2748" s="9"/>
      <c r="U2748" s="9"/>
      <c r="V2748" s="9"/>
      <c r="W2748" s="9"/>
      <c r="X2748" s="9"/>
      <c r="Y2748" s="9"/>
      <c r="Z2748" s="9"/>
      <c r="AA2748" s="9"/>
      <c r="AB2748" s="9"/>
      <c r="AC2748" s="9"/>
      <c r="AD2748" s="9"/>
    </row>
    <row r="2749" spans="1:30" s="2" customFormat="1" ht="18.75" customHeight="1">
      <c r="A2749" s="278"/>
      <c r="B2749" s="427" t="s">
        <v>931</v>
      </c>
      <c r="C2749" s="428">
        <v>1</v>
      </c>
      <c r="D2749" s="428">
        <v>1</v>
      </c>
      <c r="E2749" s="428">
        <v>79</v>
      </c>
      <c r="F2749" s="430">
        <v>1.5</v>
      </c>
      <c r="G2749" s="430"/>
      <c r="H2749" s="430">
        <v>0.75</v>
      </c>
      <c r="I2749" s="430">
        <f t="shared" ref="I2749:I2755" si="130">PRODUCT(C2749:H2749)</f>
        <v>88.88</v>
      </c>
      <c r="J2749" s="284"/>
      <c r="K2749" s="43">
        <f>0.23+0.75</f>
        <v>0.98</v>
      </c>
      <c r="L2749" s="43">
        <f t="shared" si="129"/>
        <v>1.96</v>
      </c>
      <c r="M2749" s="43"/>
      <c r="N2749" s="9"/>
      <c r="O2749" s="9"/>
      <c r="P2749" s="9"/>
      <c r="Q2749" s="9"/>
      <c r="R2749" s="9"/>
      <c r="S2749" s="9"/>
      <c r="T2749" s="9"/>
      <c r="U2749" s="9"/>
      <c r="V2749" s="9"/>
      <c r="W2749" s="9"/>
      <c r="X2749" s="9"/>
      <c r="Y2749" s="9"/>
      <c r="Z2749" s="9"/>
      <c r="AA2749" s="9"/>
      <c r="AB2749" s="9"/>
      <c r="AC2749" s="9"/>
      <c r="AD2749" s="9"/>
    </row>
    <row r="2750" spans="1:30" s="2" customFormat="1" ht="18.75" customHeight="1">
      <c r="A2750" s="278"/>
      <c r="B2750" s="427" t="s">
        <v>75</v>
      </c>
      <c r="C2750" s="428">
        <v>1</v>
      </c>
      <c r="D2750" s="428">
        <v>1</v>
      </c>
      <c r="E2750" s="428">
        <v>54</v>
      </c>
      <c r="F2750" s="430">
        <v>1.8</v>
      </c>
      <c r="G2750" s="430"/>
      <c r="H2750" s="430">
        <v>0.75</v>
      </c>
      <c r="I2750" s="430">
        <f t="shared" si="130"/>
        <v>72.900000000000006</v>
      </c>
      <c r="J2750" s="284"/>
      <c r="K2750" s="43"/>
      <c r="L2750" s="43">
        <f t="shared" si="129"/>
        <v>0</v>
      </c>
      <c r="M2750" s="43"/>
      <c r="N2750" s="9"/>
      <c r="O2750" s="9"/>
      <c r="P2750" s="9"/>
      <c r="Q2750" s="9"/>
      <c r="R2750" s="9"/>
      <c r="S2750" s="9"/>
      <c r="T2750" s="9"/>
      <c r="U2750" s="9"/>
      <c r="V2750" s="9"/>
      <c r="W2750" s="9"/>
      <c r="X2750" s="9"/>
      <c r="Y2750" s="9"/>
      <c r="Z2750" s="9"/>
      <c r="AA2750" s="9"/>
      <c r="AB2750" s="9"/>
      <c r="AC2750" s="9"/>
      <c r="AD2750" s="9"/>
    </row>
    <row r="2751" spans="1:30" s="2" customFormat="1" ht="18.75" customHeight="1">
      <c r="A2751" s="278"/>
      <c r="B2751" s="427" t="s">
        <v>76</v>
      </c>
      <c r="C2751" s="428">
        <v>1</v>
      </c>
      <c r="D2751" s="428">
        <v>1</v>
      </c>
      <c r="E2751" s="428">
        <v>3</v>
      </c>
      <c r="F2751" s="430">
        <v>1.8</v>
      </c>
      <c r="G2751" s="430"/>
      <c r="H2751" s="430">
        <v>0.75</v>
      </c>
      <c r="I2751" s="430">
        <f t="shared" si="130"/>
        <v>4.05</v>
      </c>
      <c r="J2751" s="284"/>
      <c r="K2751" s="43">
        <f>0.23+0.9</f>
        <v>1.1299999999999999</v>
      </c>
      <c r="L2751" s="43">
        <f t="shared" si="129"/>
        <v>2.2599999999999998</v>
      </c>
      <c r="M2751" s="43"/>
      <c r="N2751" s="9"/>
      <c r="O2751" s="9"/>
      <c r="P2751" s="9"/>
      <c r="Q2751" s="9"/>
      <c r="R2751" s="9"/>
      <c r="S2751" s="9"/>
      <c r="T2751" s="9"/>
      <c r="U2751" s="9"/>
      <c r="V2751" s="9"/>
      <c r="W2751" s="9"/>
      <c r="X2751" s="9"/>
      <c r="Y2751" s="9"/>
      <c r="Z2751" s="9"/>
      <c r="AA2751" s="9"/>
      <c r="AB2751" s="9"/>
      <c r="AC2751" s="9"/>
      <c r="AD2751" s="9"/>
    </row>
    <row r="2752" spans="1:30" s="2" customFormat="1" ht="18.75" customHeight="1">
      <c r="A2752" s="278"/>
      <c r="B2752" s="427" t="s">
        <v>485</v>
      </c>
      <c r="C2752" s="428">
        <v>1</v>
      </c>
      <c r="D2752" s="428">
        <v>1</v>
      </c>
      <c r="E2752" s="428">
        <v>7</v>
      </c>
      <c r="F2752" s="430">
        <v>2.1</v>
      </c>
      <c r="G2752" s="430"/>
      <c r="H2752" s="430">
        <v>0.75</v>
      </c>
      <c r="I2752" s="430">
        <f t="shared" si="130"/>
        <v>11.03</v>
      </c>
      <c r="J2752" s="284"/>
      <c r="K2752" s="43">
        <f>0.23+0.6</f>
        <v>0.83</v>
      </c>
      <c r="L2752" s="43">
        <f t="shared" si="129"/>
        <v>1.66</v>
      </c>
      <c r="M2752" s="43"/>
      <c r="N2752" s="9"/>
      <c r="O2752" s="9"/>
      <c r="P2752" s="9"/>
      <c r="Q2752" s="9"/>
      <c r="R2752" s="9"/>
      <c r="S2752" s="9"/>
      <c r="T2752" s="9"/>
      <c r="U2752" s="9"/>
      <c r="V2752" s="9"/>
      <c r="W2752" s="9"/>
      <c r="X2752" s="9"/>
      <c r="Y2752" s="9"/>
      <c r="Z2752" s="9"/>
      <c r="AA2752" s="9"/>
      <c r="AB2752" s="9"/>
      <c r="AC2752" s="9"/>
      <c r="AD2752" s="9"/>
    </row>
    <row r="2753" spans="1:30" s="2" customFormat="1" ht="18.75" customHeight="1">
      <c r="A2753" s="278"/>
      <c r="B2753" s="427" t="s">
        <v>487</v>
      </c>
      <c r="C2753" s="428">
        <v>1</v>
      </c>
      <c r="D2753" s="428">
        <v>1</v>
      </c>
      <c r="E2753" s="428">
        <v>1</v>
      </c>
      <c r="F2753" s="430">
        <v>2.2599999999999998</v>
      </c>
      <c r="G2753" s="430"/>
      <c r="H2753" s="430">
        <v>0.75</v>
      </c>
      <c r="I2753" s="430">
        <f t="shared" si="130"/>
        <v>1.7</v>
      </c>
      <c r="J2753" s="284"/>
      <c r="K2753" s="43">
        <f>0.23+0.75</f>
        <v>0.98</v>
      </c>
      <c r="L2753" s="43">
        <f t="shared" si="129"/>
        <v>1.96</v>
      </c>
      <c r="M2753" s="43"/>
      <c r="N2753" s="9"/>
      <c r="O2753" s="9"/>
      <c r="P2753" s="9"/>
      <c r="Q2753" s="9"/>
      <c r="R2753" s="9"/>
      <c r="S2753" s="9"/>
      <c r="T2753" s="9"/>
      <c r="U2753" s="9"/>
      <c r="V2753" s="9"/>
      <c r="W2753" s="9"/>
      <c r="X2753" s="9"/>
      <c r="Y2753" s="9"/>
      <c r="Z2753" s="9"/>
      <c r="AA2753" s="9"/>
      <c r="AB2753" s="9"/>
      <c r="AC2753" s="9"/>
      <c r="AD2753" s="9"/>
    </row>
    <row r="2754" spans="1:30" s="2" customFormat="1" ht="18.75" customHeight="1">
      <c r="A2754" s="278"/>
      <c r="B2754" s="427" t="s">
        <v>932</v>
      </c>
      <c r="C2754" s="428">
        <v>1</v>
      </c>
      <c r="D2754" s="428">
        <v>2</v>
      </c>
      <c r="E2754" s="428">
        <v>2</v>
      </c>
      <c r="F2754" s="430">
        <v>10.24</v>
      </c>
      <c r="G2754" s="430"/>
      <c r="H2754" s="430">
        <v>0.75</v>
      </c>
      <c r="I2754" s="430">
        <f t="shared" si="130"/>
        <v>30.72</v>
      </c>
      <c r="J2754" s="284"/>
      <c r="K2754" s="43">
        <f>0.3+0.45</f>
        <v>0.75</v>
      </c>
      <c r="L2754" s="43">
        <f t="shared" si="129"/>
        <v>1.5</v>
      </c>
      <c r="M2754" s="43"/>
      <c r="N2754" s="9"/>
      <c r="O2754" s="9"/>
      <c r="P2754" s="9"/>
      <c r="Q2754" s="9"/>
      <c r="R2754" s="9"/>
      <c r="S2754" s="9"/>
      <c r="T2754" s="9"/>
      <c r="U2754" s="9"/>
      <c r="V2754" s="9"/>
      <c r="W2754" s="9"/>
      <c r="X2754" s="9"/>
      <c r="Y2754" s="9"/>
      <c r="Z2754" s="9"/>
      <c r="AA2754" s="9"/>
      <c r="AB2754" s="9"/>
      <c r="AC2754" s="9"/>
      <c r="AD2754" s="9"/>
    </row>
    <row r="2755" spans="1:30" s="2" customFormat="1" ht="18.75" customHeight="1">
      <c r="A2755" s="278"/>
      <c r="B2755" s="427" t="s">
        <v>933</v>
      </c>
      <c r="C2755" s="428">
        <v>1</v>
      </c>
      <c r="D2755" s="428">
        <v>2</v>
      </c>
      <c r="E2755" s="428">
        <v>1</v>
      </c>
      <c r="F2755" s="430">
        <v>12.44</v>
      </c>
      <c r="G2755" s="430"/>
      <c r="H2755" s="430">
        <v>0.75</v>
      </c>
      <c r="I2755" s="430">
        <f t="shared" si="130"/>
        <v>18.66</v>
      </c>
      <c r="J2755" s="284"/>
      <c r="K2755" s="43">
        <f>0.3+0.6</f>
        <v>0.9</v>
      </c>
      <c r="L2755" s="43">
        <f t="shared" si="129"/>
        <v>1.8</v>
      </c>
      <c r="M2755" s="43"/>
      <c r="N2755" s="9"/>
      <c r="O2755" s="9"/>
      <c r="P2755" s="9"/>
      <c r="Q2755" s="9"/>
      <c r="R2755" s="9"/>
      <c r="S2755" s="9"/>
      <c r="T2755" s="9"/>
      <c r="U2755" s="9"/>
      <c r="V2755" s="9"/>
      <c r="W2755" s="9"/>
      <c r="X2755" s="9"/>
      <c r="Y2755" s="9"/>
      <c r="Z2755" s="9"/>
      <c r="AA2755" s="9"/>
      <c r="AB2755" s="9"/>
      <c r="AC2755" s="9"/>
      <c r="AD2755" s="9"/>
    </row>
    <row r="2756" spans="1:30" s="91" customFormat="1" ht="23.25" customHeight="1">
      <c r="A2756" s="278"/>
      <c r="B2756" s="279"/>
      <c r="C2756" s="280"/>
      <c r="D2756" s="280"/>
      <c r="E2756" s="280"/>
      <c r="F2756" s="282"/>
      <c r="G2756" s="282"/>
      <c r="H2756" s="282"/>
      <c r="I2756" s="416">
        <f>SUM(I2740:I2747)</f>
        <v>447.13</v>
      </c>
      <c r="J2756" s="343" t="s">
        <v>115</v>
      </c>
      <c r="K2756" s="44"/>
      <c r="L2756" s="44"/>
      <c r="M2756" s="44"/>
    </row>
    <row r="2757" spans="1:30" s="91" customFormat="1" ht="23.25" customHeight="1">
      <c r="A2757" s="278"/>
      <c r="B2757" s="286" t="s">
        <v>492</v>
      </c>
      <c r="C2757" s="280"/>
      <c r="D2757" s="280"/>
      <c r="E2757" s="280"/>
      <c r="F2757" s="282"/>
      <c r="G2757" s="282"/>
      <c r="H2757" s="282"/>
      <c r="I2757" s="283"/>
      <c r="J2757" s="278"/>
      <c r="K2757" s="46"/>
      <c r="L2757" s="46"/>
      <c r="M2757" s="46"/>
    </row>
    <row r="2758" spans="1:30" s="89" customFormat="1" ht="18.75" customHeight="1">
      <c r="A2758" s="294"/>
      <c r="B2758" s="427" t="s">
        <v>931</v>
      </c>
      <c r="C2758" s="428">
        <v>1</v>
      </c>
      <c r="D2758" s="428">
        <v>1</v>
      </c>
      <c r="E2758" s="428">
        <v>79</v>
      </c>
      <c r="F2758" s="430">
        <v>1.5</v>
      </c>
      <c r="G2758" s="282"/>
      <c r="H2758" s="294">
        <v>2.65</v>
      </c>
      <c r="I2758" s="283">
        <f t="shared" ref="I2758:I2763" si="131">PRODUCT(C2758:H2758)</f>
        <v>314.02999999999997</v>
      </c>
      <c r="J2758" s="294"/>
      <c r="K2758" s="88"/>
      <c r="L2758" s="88"/>
      <c r="M2758" s="88">
        <v>1.36</v>
      </c>
      <c r="N2758" s="90"/>
      <c r="O2758" s="90"/>
      <c r="P2758" s="90"/>
      <c r="Q2758" s="90"/>
      <c r="R2758" s="90"/>
      <c r="S2758" s="90"/>
      <c r="T2758" s="90"/>
      <c r="U2758" s="90"/>
      <c r="V2758" s="90"/>
      <c r="W2758" s="90"/>
      <c r="X2758" s="90"/>
      <c r="Y2758" s="90"/>
      <c r="Z2758" s="90"/>
      <c r="AA2758" s="90"/>
      <c r="AB2758" s="90"/>
      <c r="AC2758" s="90"/>
      <c r="AD2758" s="90"/>
    </row>
    <row r="2759" spans="1:30" s="89" customFormat="1" ht="18.75" customHeight="1">
      <c r="A2759" s="294"/>
      <c r="B2759" s="427" t="s">
        <v>75</v>
      </c>
      <c r="C2759" s="428">
        <v>1</v>
      </c>
      <c r="D2759" s="428">
        <v>1</v>
      </c>
      <c r="E2759" s="428">
        <v>54</v>
      </c>
      <c r="F2759" s="430">
        <v>1.8</v>
      </c>
      <c r="G2759" s="282"/>
      <c r="H2759" s="294">
        <v>2.65</v>
      </c>
      <c r="I2759" s="283">
        <f t="shared" si="131"/>
        <v>257.58</v>
      </c>
      <c r="J2759" s="294"/>
      <c r="K2759" s="88"/>
      <c r="L2759" s="88"/>
      <c r="M2759" s="88">
        <v>1.66</v>
      </c>
      <c r="N2759" s="90"/>
      <c r="O2759" s="90"/>
      <c r="P2759" s="90"/>
      <c r="Q2759" s="90"/>
      <c r="R2759" s="90"/>
      <c r="S2759" s="90"/>
      <c r="T2759" s="90"/>
      <c r="U2759" s="90"/>
      <c r="V2759" s="90"/>
      <c r="W2759" s="90"/>
      <c r="X2759" s="90"/>
      <c r="Y2759" s="90"/>
      <c r="Z2759" s="90"/>
      <c r="AA2759" s="90"/>
      <c r="AB2759" s="90"/>
      <c r="AC2759" s="90"/>
      <c r="AD2759" s="90"/>
    </row>
    <row r="2760" spans="1:30" s="89" customFormat="1" ht="18.75" customHeight="1">
      <c r="A2760" s="294"/>
      <c r="B2760" s="427" t="s">
        <v>76</v>
      </c>
      <c r="C2760" s="428">
        <v>1</v>
      </c>
      <c r="D2760" s="428">
        <v>1</v>
      </c>
      <c r="E2760" s="428">
        <v>3</v>
      </c>
      <c r="F2760" s="430">
        <v>1.8</v>
      </c>
      <c r="G2760" s="282"/>
      <c r="H2760" s="294">
        <v>2.65</v>
      </c>
      <c r="I2760" s="283">
        <f t="shared" si="131"/>
        <v>14.31</v>
      </c>
      <c r="J2760" s="294"/>
      <c r="K2760" s="88"/>
      <c r="L2760" s="88"/>
      <c r="M2760" s="88">
        <v>1.96</v>
      </c>
      <c r="N2760" s="90"/>
      <c r="O2760" s="90"/>
      <c r="P2760" s="90"/>
      <c r="Q2760" s="90"/>
      <c r="R2760" s="90"/>
      <c r="S2760" s="90"/>
      <c r="T2760" s="90"/>
      <c r="U2760" s="90"/>
      <c r="V2760" s="90"/>
      <c r="W2760" s="90"/>
      <c r="X2760" s="90"/>
      <c r="Y2760" s="90"/>
      <c r="Z2760" s="90"/>
      <c r="AA2760" s="90"/>
      <c r="AB2760" s="90"/>
      <c r="AC2760" s="90"/>
      <c r="AD2760" s="90"/>
    </row>
    <row r="2761" spans="1:30" s="85" customFormat="1" ht="18.75" customHeight="1">
      <c r="A2761" s="294"/>
      <c r="B2761" s="427" t="s">
        <v>485</v>
      </c>
      <c r="C2761" s="428">
        <v>1</v>
      </c>
      <c r="D2761" s="428">
        <v>1</v>
      </c>
      <c r="E2761" s="428">
        <v>7</v>
      </c>
      <c r="F2761" s="430">
        <v>2.1</v>
      </c>
      <c r="G2761" s="282"/>
      <c r="H2761" s="294">
        <v>2.65</v>
      </c>
      <c r="I2761" s="283">
        <f t="shared" si="131"/>
        <v>38.96</v>
      </c>
      <c r="J2761" s="294"/>
      <c r="K2761" s="88"/>
      <c r="L2761" s="88"/>
      <c r="M2761" s="87">
        <v>1.36</v>
      </c>
      <c r="N2761" s="86"/>
      <c r="O2761" s="86"/>
      <c r="P2761" s="86"/>
      <c r="Q2761" s="86"/>
      <c r="R2761" s="86"/>
      <c r="S2761" s="86"/>
      <c r="T2761" s="86"/>
      <c r="U2761" s="86"/>
      <c r="V2761" s="86"/>
      <c r="W2761" s="86"/>
      <c r="X2761" s="86"/>
      <c r="Y2761" s="86"/>
      <c r="Z2761" s="86"/>
      <c r="AA2761" s="86"/>
      <c r="AB2761" s="86"/>
      <c r="AC2761" s="86"/>
      <c r="AD2761" s="86"/>
    </row>
    <row r="2762" spans="1:30" s="85" customFormat="1" ht="18.75" customHeight="1">
      <c r="A2762" s="294"/>
      <c r="B2762" s="427" t="s">
        <v>487</v>
      </c>
      <c r="C2762" s="428">
        <v>1</v>
      </c>
      <c r="D2762" s="428">
        <v>1</v>
      </c>
      <c r="E2762" s="428">
        <v>1</v>
      </c>
      <c r="F2762" s="430">
        <v>2.2599999999999998</v>
      </c>
      <c r="G2762" s="282"/>
      <c r="H2762" s="294">
        <v>2.65</v>
      </c>
      <c r="I2762" s="283">
        <f t="shared" si="131"/>
        <v>5.99</v>
      </c>
      <c r="J2762" s="294"/>
      <c r="K2762" s="88"/>
      <c r="L2762" s="88"/>
      <c r="M2762" s="87">
        <v>1.66</v>
      </c>
      <c r="N2762" s="86"/>
      <c r="O2762" s="86"/>
      <c r="P2762" s="86"/>
      <c r="Q2762" s="86"/>
      <c r="R2762" s="86"/>
      <c r="S2762" s="86"/>
      <c r="T2762" s="86"/>
      <c r="U2762" s="86"/>
      <c r="V2762" s="86"/>
      <c r="W2762" s="86"/>
      <c r="X2762" s="86"/>
      <c r="Y2762" s="86"/>
      <c r="Z2762" s="86"/>
      <c r="AA2762" s="86"/>
      <c r="AB2762" s="86"/>
      <c r="AC2762" s="86"/>
      <c r="AD2762" s="86"/>
    </row>
    <row r="2763" spans="1:30" s="85" customFormat="1" ht="22.5" customHeight="1">
      <c r="A2763" s="294"/>
      <c r="B2763" s="297" t="s">
        <v>491</v>
      </c>
      <c r="C2763" s="294">
        <v>1</v>
      </c>
      <c r="D2763" s="294">
        <v>3</v>
      </c>
      <c r="E2763" s="294">
        <v>2</v>
      </c>
      <c r="F2763" s="295">
        <v>1.66</v>
      </c>
      <c r="G2763" s="295"/>
      <c r="H2763" s="295">
        <v>1.1000000000000001</v>
      </c>
      <c r="I2763" s="298">
        <f t="shared" si="131"/>
        <v>10.96</v>
      </c>
      <c r="J2763" s="294"/>
      <c r="K2763" s="88"/>
      <c r="L2763" s="88"/>
      <c r="M2763" s="87">
        <v>1.8</v>
      </c>
      <c r="N2763" s="86"/>
      <c r="O2763" s="86"/>
      <c r="P2763" s="86"/>
      <c r="Q2763" s="86"/>
      <c r="R2763" s="86"/>
      <c r="S2763" s="86"/>
      <c r="T2763" s="86"/>
      <c r="U2763" s="86"/>
      <c r="V2763" s="86"/>
      <c r="W2763" s="86"/>
      <c r="X2763" s="86"/>
      <c r="Y2763" s="86"/>
      <c r="Z2763" s="86"/>
      <c r="AA2763" s="86"/>
      <c r="AB2763" s="86"/>
      <c r="AC2763" s="86"/>
      <c r="AD2763" s="86"/>
    </row>
    <row r="2764" spans="1:30" s="91" customFormat="1" ht="23.25" customHeight="1">
      <c r="A2764" s="278"/>
      <c r="B2764" s="279"/>
      <c r="C2764" s="280"/>
      <c r="D2764" s="280"/>
      <c r="E2764" s="280"/>
      <c r="F2764" s="282"/>
      <c r="G2764" s="282"/>
      <c r="H2764" s="282"/>
      <c r="I2764" s="416">
        <f>SUM(I2758:I2763)</f>
        <v>641.83000000000004</v>
      </c>
      <c r="J2764" s="343" t="s">
        <v>4</v>
      </c>
      <c r="K2764" s="42"/>
      <c r="L2764" s="42"/>
      <c r="M2764" s="42"/>
    </row>
    <row r="2765" spans="1:30" s="91" customFormat="1" ht="23.25" customHeight="1">
      <c r="A2765" s="278"/>
      <c r="B2765" s="286" t="s">
        <v>479</v>
      </c>
      <c r="C2765" s="280"/>
      <c r="D2765" s="280"/>
      <c r="E2765" s="280"/>
      <c r="F2765" s="282"/>
      <c r="G2765" s="282"/>
      <c r="H2765" s="282"/>
      <c r="I2765" s="283"/>
      <c r="J2765" s="278"/>
      <c r="K2765" s="46"/>
      <c r="L2765" s="46"/>
      <c r="M2765" s="46"/>
    </row>
    <row r="2766" spans="1:30" s="91" customFormat="1" ht="23.25" customHeight="1">
      <c r="A2766" s="278"/>
      <c r="B2766" s="286" t="s">
        <v>283</v>
      </c>
      <c r="C2766" s="280"/>
      <c r="D2766" s="280"/>
      <c r="E2766" s="280"/>
      <c r="F2766" s="282"/>
      <c r="G2766" s="282"/>
      <c r="H2766" s="282"/>
      <c r="I2766" s="416">
        <f>I2764</f>
        <v>641.83000000000004</v>
      </c>
      <c r="J2766" s="343" t="s">
        <v>4</v>
      </c>
      <c r="K2766" s="42"/>
      <c r="L2766" s="42"/>
      <c r="M2766" s="42"/>
    </row>
    <row r="2767" spans="1:30" s="91" customFormat="1" ht="23.25" customHeight="1">
      <c r="A2767" s="278"/>
      <c r="B2767" s="286" t="s">
        <v>296</v>
      </c>
      <c r="C2767" s="280"/>
      <c r="D2767" s="280"/>
      <c r="E2767" s="280"/>
      <c r="F2767" s="282"/>
      <c r="G2767" s="282"/>
      <c r="H2767" s="282"/>
      <c r="I2767" s="416"/>
      <c r="J2767" s="278"/>
      <c r="K2767" s="46"/>
      <c r="L2767" s="46"/>
      <c r="M2767" s="46"/>
    </row>
    <row r="2768" spans="1:30" s="91" customFormat="1" ht="23.25" customHeight="1">
      <c r="A2768" s="278"/>
      <c r="B2768" s="286" t="s">
        <v>283</v>
      </c>
      <c r="C2768" s="280"/>
      <c r="D2768" s="280"/>
      <c r="E2768" s="280"/>
      <c r="F2768" s="282"/>
      <c r="G2768" s="282"/>
      <c r="H2768" s="282"/>
      <c r="I2768" s="416">
        <f>I2766</f>
        <v>641.83000000000004</v>
      </c>
      <c r="J2768" s="343" t="s">
        <v>4</v>
      </c>
      <c r="K2768" s="42"/>
      <c r="L2768" s="42"/>
      <c r="M2768" s="42"/>
    </row>
    <row r="2769" spans="1:30" s="91" customFormat="1" ht="23.25" customHeight="1">
      <c r="A2769" s="278"/>
      <c r="B2769" s="286" t="s">
        <v>295</v>
      </c>
      <c r="C2769" s="280"/>
      <c r="D2769" s="280"/>
      <c r="E2769" s="280"/>
      <c r="F2769" s="282"/>
      <c r="G2769" s="282"/>
      <c r="H2769" s="282"/>
      <c r="I2769" s="416"/>
      <c r="J2769" s="278"/>
      <c r="K2769" s="46"/>
      <c r="L2769" s="46"/>
      <c r="M2769" s="46"/>
    </row>
    <row r="2770" spans="1:30" s="91" customFormat="1" ht="23.25" customHeight="1">
      <c r="A2770" s="278"/>
      <c r="B2770" s="286" t="s">
        <v>283</v>
      </c>
      <c r="C2770" s="280"/>
      <c r="D2770" s="280"/>
      <c r="E2770" s="280"/>
      <c r="F2770" s="282"/>
      <c r="G2770" s="282"/>
      <c r="H2770" s="282"/>
      <c r="I2770" s="416">
        <f>I2768</f>
        <v>641.83000000000004</v>
      </c>
      <c r="J2770" s="343" t="s">
        <v>4</v>
      </c>
      <c r="K2770" s="42"/>
      <c r="L2770" s="42"/>
      <c r="M2770" s="42"/>
    </row>
    <row r="2771" spans="1:30" s="91" customFormat="1" ht="23.25" customHeight="1">
      <c r="A2771" s="278"/>
      <c r="B2771" s="286" t="s">
        <v>294</v>
      </c>
      <c r="C2771" s="280"/>
      <c r="D2771" s="280"/>
      <c r="E2771" s="280"/>
      <c r="F2771" s="282"/>
      <c r="G2771" s="282"/>
      <c r="H2771" s="282"/>
      <c r="I2771" s="416"/>
      <c r="J2771" s="278"/>
      <c r="K2771" s="46"/>
      <c r="L2771" s="46"/>
      <c r="M2771" s="46"/>
    </row>
    <row r="2772" spans="1:30" s="91" customFormat="1" ht="23.25" customHeight="1">
      <c r="A2772" s="278"/>
      <c r="B2772" s="286" t="s">
        <v>283</v>
      </c>
      <c r="C2772" s="280"/>
      <c r="D2772" s="280"/>
      <c r="E2772" s="280"/>
      <c r="F2772" s="282"/>
      <c r="G2772" s="282"/>
      <c r="H2772" s="282"/>
      <c r="I2772" s="416">
        <f>I2770</f>
        <v>641.83000000000004</v>
      </c>
      <c r="J2772" s="343" t="s">
        <v>4</v>
      </c>
      <c r="K2772" s="42"/>
      <c r="L2772" s="42"/>
      <c r="M2772" s="42"/>
    </row>
    <row r="2773" spans="1:30" s="91" customFormat="1" ht="23.25" customHeight="1">
      <c r="A2773" s="278"/>
      <c r="B2773" s="286" t="s">
        <v>293</v>
      </c>
      <c r="C2773" s="280"/>
      <c r="D2773" s="280"/>
      <c r="E2773" s="280"/>
      <c r="F2773" s="282"/>
      <c r="G2773" s="282"/>
      <c r="H2773" s="282"/>
      <c r="I2773" s="416"/>
      <c r="J2773" s="278"/>
      <c r="K2773" s="46"/>
      <c r="L2773" s="46"/>
      <c r="M2773" s="46"/>
    </row>
    <row r="2774" spans="1:30" s="89" customFormat="1" ht="18.75" customHeight="1">
      <c r="A2774" s="294"/>
      <c r="B2774" s="286" t="s">
        <v>283</v>
      </c>
      <c r="C2774" s="280"/>
      <c r="D2774" s="280"/>
      <c r="E2774" s="280"/>
      <c r="F2774" s="282"/>
      <c r="G2774" s="282"/>
      <c r="H2774" s="282"/>
      <c r="I2774" s="416">
        <f>I2772</f>
        <v>641.83000000000004</v>
      </c>
      <c r="J2774" s="343" t="s">
        <v>4</v>
      </c>
      <c r="K2774" s="88"/>
      <c r="L2774" s="88"/>
      <c r="M2774" s="88">
        <v>1.36</v>
      </c>
      <c r="N2774" s="90"/>
      <c r="O2774" s="90"/>
      <c r="P2774" s="90"/>
      <c r="Q2774" s="90"/>
      <c r="R2774" s="90"/>
      <c r="S2774" s="90"/>
      <c r="T2774" s="90"/>
      <c r="U2774" s="90"/>
      <c r="V2774" s="90"/>
      <c r="W2774" s="90"/>
      <c r="X2774" s="90"/>
      <c r="Y2774" s="90"/>
      <c r="Z2774" s="90"/>
      <c r="AA2774" s="90"/>
      <c r="AB2774" s="90"/>
      <c r="AC2774" s="90"/>
      <c r="AD2774" s="90"/>
    </row>
    <row r="2775" spans="1:30" s="91" customFormat="1" ht="23.25" customHeight="1">
      <c r="A2775" s="278"/>
      <c r="B2775" s="286" t="s">
        <v>292</v>
      </c>
      <c r="C2775" s="280"/>
      <c r="D2775" s="280"/>
      <c r="E2775" s="280"/>
      <c r="F2775" s="282"/>
      <c r="G2775" s="282"/>
      <c r="H2775" s="282"/>
      <c r="I2775" s="416"/>
      <c r="J2775" s="278"/>
      <c r="K2775" s="46"/>
      <c r="L2775" s="46"/>
      <c r="M2775" s="46"/>
    </row>
    <row r="2776" spans="1:30" s="91" customFormat="1" ht="23.25" customHeight="1">
      <c r="A2776" s="278"/>
      <c r="B2776" s="286" t="s">
        <v>283</v>
      </c>
      <c r="C2776" s="280"/>
      <c r="D2776" s="280"/>
      <c r="E2776" s="280"/>
      <c r="F2776" s="282"/>
      <c r="G2776" s="282"/>
      <c r="H2776" s="282"/>
      <c r="I2776" s="416">
        <f>I2774</f>
        <v>641.83000000000004</v>
      </c>
      <c r="J2776" s="343" t="s">
        <v>4</v>
      </c>
      <c r="K2776" s="42"/>
      <c r="L2776" s="42"/>
      <c r="M2776" s="42"/>
    </row>
    <row r="2777" spans="1:30" s="91" customFormat="1" ht="23.25" customHeight="1">
      <c r="A2777" s="278"/>
      <c r="B2777" s="286" t="s">
        <v>291</v>
      </c>
      <c r="C2777" s="280"/>
      <c r="D2777" s="280"/>
      <c r="E2777" s="280"/>
      <c r="F2777" s="282"/>
      <c r="G2777" s="282"/>
      <c r="H2777" s="282"/>
      <c r="I2777" s="416"/>
      <c r="J2777" s="278"/>
      <c r="K2777" s="46"/>
      <c r="L2777" s="46"/>
      <c r="M2777" s="46"/>
    </row>
    <row r="2778" spans="1:30" s="91" customFormat="1" ht="23.25" customHeight="1">
      <c r="A2778" s="278"/>
      <c r="B2778" s="286" t="s">
        <v>283</v>
      </c>
      <c r="C2778" s="280"/>
      <c r="D2778" s="280"/>
      <c r="E2778" s="280"/>
      <c r="F2778" s="282"/>
      <c r="G2778" s="282"/>
      <c r="H2778" s="282"/>
      <c r="I2778" s="416">
        <f>I2776</f>
        <v>641.83000000000004</v>
      </c>
      <c r="J2778" s="343" t="s">
        <v>4</v>
      </c>
      <c r="K2778" s="42"/>
      <c r="L2778" s="42"/>
      <c r="M2778" s="42"/>
    </row>
    <row r="2779" spans="1:30" s="91" customFormat="1" ht="23.25" customHeight="1">
      <c r="A2779" s="278"/>
      <c r="B2779" s="286" t="s">
        <v>290</v>
      </c>
      <c r="C2779" s="280"/>
      <c r="D2779" s="280"/>
      <c r="E2779" s="280"/>
      <c r="F2779" s="282"/>
      <c r="G2779" s="282"/>
      <c r="H2779" s="282"/>
      <c r="I2779" s="416"/>
      <c r="J2779" s="278"/>
      <c r="K2779" s="46"/>
      <c r="L2779" s="46"/>
      <c r="M2779" s="46"/>
    </row>
    <row r="2780" spans="1:30" s="91" customFormat="1" ht="23.25" customHeight="1">
      <c r="A2780" s="278"/>
      <c r="B2780" s="286" t="s">
        <v>283</v>
      </c>
      <c r="C2780" s="280"/>
      <c r="D2780" s="280"/>
      <c r="E2780" s="280"/>
      <c r="F2780" s="282"/>
      <c r="G2780" s="282"/>
      <c r="H2780" s="282"/>
      <c r="I2780" s="416">
        <f>I2778</f>
        <v>641.83000000000004</v>
      </c>
      <c r="J2780" s="343" t="s">
        <v>4</v>
      </c>
      <c r="K2780" s="42"/>
      <c r="L2780" s="42"/>
      <c r="M2780" s="42"/>
    </row>
    <row r="2781" spans="1:30" s="91" customFormat="1" ht="23.25" customHeight="1">
      <c r="A2781" s="278"/>
      <c r="B2781" s="286" t="s">
        <v>289</v>
      </c>
      <c r="C2781" s="280"/>
      <c r="D2781" s="280"/>
      <c r="E2781" s="280"/>
      <c r="F2781" s="282"/>
      <c r="G2781" s="282"/>
      <c r="H2781" s="282"/>
      <c r="I2781" s="416"/>
      <c r="J2781" s="278"/>
      <c r="K2781" s="46"/>
      <c r="L2781" s="46"/>
      <c r="M2781" s="46"/>
    </row>
    <row r="2782" spans="1:30" s="91" customFormat="1" ht="23.25" customHeight="1">
      <c r="A2782" s="278"/>
      <c r="B2782" s="286" t="s">
        <v>283</v>
      </c>
      <c r="C2782" s="280"/>
      <c r="D2782" s="280"/>
      <c r="E2782" s="280"/>
      <c r="F2782" s="282"/>
      <c r="G2782" s="282"/>
      <c r="H2782" s="282"/>
      <c r="I2782" s="416">
        <f>I2780</f>
        <v>641.83000000000004</v>
      </c>
      <c r="J2782" s="343" t="s">
        <v>4</v>
      </c>
      <c r="K2782" s="42"/>
      <c r="L2782" s="42"/>
      <c r="M2782" s="42"/>
    </row>
    <row r="2783" spans="1:30" s="91" customFormat="1" ht="23.25" customHeight="1">
      <c r="A2783" s="278"/>
      <c r="B2783" s="286" t="s">
        <v>288</v>
      </c>
      <c r="C2783" s="280"/>
      <c r="D2783" s="280"/>
      <c r="E2783" s="280"/>
      <c r="F2783" s="282"/>
      <c r="G2783" s="282"/>
      <c r="H2783" s="282"/>
      <c r="I2783" s="416"/>
      <c r="J2783" s="278"/>
      <c r="K2783" s="46"/>
      <c r="L2783" s="46"/>
      <c r="M2783" s="46"/>
    </row>
    <row r="2784" spans="1:30" s="91" customFormat="1" ht="23.25" customHeight="1">
      <c r="A2784" s="278"/>
      <c r="B2784" s="286" t="s">
        <v>283</v>
      </c>
      <c r="C2784" s="280"/>
      <c r="D2784" s="280"/>
      <c r="E2784" s="280"/>
      <c r="F2784" s="282"/>
      <c r="G2784" s="282"/>
      <c r="H2784" s="282"/>
      <c r="I2784" s="416">
        <f>I2782</f>
        <v>641.83000000000004</v>
      </c>
      <c r="J2784" s="343" t="s">
        <v>4</v>
      </c>
      <c r="K2784" s="42"/>
      <c r="L2784" s="42"/>
      <c r="M2784" s="42"/>
    </row>
    <row r="2785" spans="1:30" s="107" customFormat="1" ht="24" customHeight="1">
      <c r="A2785" s="305"/>
      <c r="B2785" s="310" t="s">
        <v>489</v>
      </c>
      <c r="C2785" s="294"/>
      <c r="D2785" s="294"/>
      <c r="E2785" s="294"/>
      <c r="F2785" s="294"/>
      <c r="G2785" s="294"/>
      <c r="H2785" s="289"/>
      <c r="I2785" s="418"/>
      <c r="J2785" s="305"/>
    </row>
    <row r="2786" spans="1:30" s="89" customFormat="1" ht="18.75" customHeight="1">
      <c r="A2786" s="294"/>
      <c r="B2786" s="532" t="s">
        <v>303</v>
      </c>
      <c r="C2786" s="280">
        <v>1</v>
      </c>
      <c r="D2786" s="280">
        <v>1</v>
      </c>
      <c r="E2786" s="280">
        <v>65</v>
      </c>
      <c r="F2786" s="282">
        <v>1.5</v>
      </c>
      <c r="G2786" s="282"/>
      <c r="H2786" s="295">
        <v>1.5</v>
      </c>
      <c r="I2786" s="283">
        <f>PRODUCT(C2786:H2786)</f>
        <v>146.25</v>
      </c>
      <c r="J2786" s="294"/>
      <c r="K2786" s="88"/>
      <c r="L2786" s="90"/>
      <c r="M2786" s="88">
        <v>1.36</v>
      </c>
      <c r="N2786" s="90"/>
      <c r="O2786" s="90"/>
      <c r="P2786" s="90"/>
      <c r="Q2786" s="90"/>
      <c r="R2786" s="90"/>
      <c r="S2786" s="90"/>
      <c r="T2786" s="90"/>
      <c r="U2786" s="90"/>
      <c r="V2786" s="90"/>
      <c r="W2786" s="90"/>
      <c r="X2786" s="90"/>
      <c r="Y2786" s="90"/>
      <c r="Z2786" s="90"/>
      <c r="AA2786" s="90"/>
      <c r="AB2786" s="90"/>
      <c r="AC2786" s="90"/>
      <c r="AD2786" s="90"/>
    </row>
    <row r="2787" spans="1:30" s="85" customFormat="1" ht="18.75" customHeight="1">
      <c r="A2787" s="294"/>
      <c r="B2787" s="532" t="s">
        <v>302</v>
      </c>
      <c r="C2787" s="280">
        <v>1</v>
      </c>
      <c r="D2787" s="280">
        <v>1</v>
      </c>
      <c r="E2787" s="280">
        <v>20</v>
      </c>
      <c r="F2787" s="282">
        <v>1.8</v>
      </c>
      <c r="G2787" s="282"/>
      <c r="H2787" s="295">
        <v>1.5</v>
      </c>
      <c r="I2787" s="283">
        <f>PRODUCT(C2787:H2787)</f>
        <v>54</v>
      </c>
      <c r="J2787" s="294"/>
      <c r="K2787" s="88"/>
      <c r="L2787" s="90"/>
      <c r="M2787" s="87">
        <v>1.96</v>
      </c>
      <c r="N2787" s="86"/>
      <c r="O2787" s="86"/>
      <c r="P2787" s="86"/>
      <c r="Q2787" s="86"/>
      <c r="R2787" s="86"/>
      <c r="S2787" s="86"/>
      <c r="T2787" s="86"/>
      <c r="U2787" s="86"/>
      <c r="V2787" s="86"/>
      <c r="W2787" s="86"/>
      <c r="X2787" s="86"/>
      <c r="Y2787" s="86"/>
      <c r="Z2787" s="86"/>
      <c r="AA2787" s="86"/>
      <c r="AB2787" s="86"/>
      <c r="AC2787" s="86"/>
      <c r="AD2787" s="86"/>
    </row>
    <row r="2788" spans="1:30" s="85" customFormat="1" ht="18.75" customHeight="1">
      <c r="A2788" s="294"/>
      <c r="B2788" s="532" t="s">
        <v>301</v>
      </c>
      <c r="C2788" s="280">
        <v>1</v>
      </c>
      <c r="D2788" s="280">
        <v>1</v>
      </c>
      <c r="E2788" s="280">
        <v>1</v>
      </c>
      <c r="F2788" s="282">
        <v>2.1</v>
      </c>
      <c r="G2788" s="282"/>
      <c r="H2788" s="295">
        <v>1.5</v>
      </c>
      <c r="I2788" s="283">
        <f>PRODUCT(C2788:H2788)</f>
        <v>3.15</v>
      </c>
      <c r="J2788" s="294"/>
      <c r="K2788" s="88"/>
      <c r="L2788" s="90"/>
      <c r="M2788" s="87">
        <v>1.36</v>
      </c>
      <c r="N2788" s="86"/>
      <c r="O2788" s="86"/>
      <c r="P2788" s="86"/>
      <c r="Q2788" s="86"/>
      <c r="R2788" s="86"/>
      <c r="S2788" s="86"/>
      <c r="T2788" s="86"/>
      <c r="U2788" s="86"/>
      <c r="V2788" s="86"/>
      <c r="W2788" s="86"/>
      <c r="X2788" s="86"/>
      <c r="Y2788" s="86"/>
      <c r="Z2788" s="86"/>
      <c r="AA2788" s="86"/>
      <c r="AB2788" s="86"/>
      <c r="AC2788" s="86"/>
      <c r="AD2788" s="86"/>
    </row>
    <row r="2789" spans="1:30" s="108" customFormat="1" ht="24" customHeight="1">
      <c r="A2789" s="311"/>
      <c r="B2789" s="296" t="s">
        <v>488</v>
      </c>
      <c r="C2789" s="294"/>
      <c r="D2789" s="294"/>
      <c r="E2789" s="294"/>
      <c r="F2789" s="300"/>
      <c r="G2789" s="292"/>
      <c r="H2789" s="292"/>
      <c r="I2789" s="298"/>
      <c r="J2789" s="312"/>
      <c r="K2789" s="88"/>
      <c r="L2789" s="90"/>
      <c r="M2789" s="110"/>
    </row>
    <row r="2790" spans="1:30" s="108" customFormat="1" ht="24" customHeight="1">
      <c r="A2790" s="305"/>
      <c r="B2790" s="293" t="s">
        <v>74</v>
      </c>
      <c r="C2790" s="294">
        <v>1</v>
      </c>
      <c r="D2790" s="294">
        <v>1</v>
      </c>
      <c r="E2790" s="294">
        <v>10</v>
      </c>
      <c r="F2790" s="300">
        <v>1.5</v>
      </c>
      <c r="G2790" s="295"/>
      <c r="H2790" s="295">
        <v>0.65</v>
      </c>
      <c r="I2790" s="298">
        <f>PRODUCT(C2790:H2790)</f>
        <v>9.75</v>
      </c>
      <c r="J2790" s="312"/>
      <c r="K2790" s="88"/>
      <c r="L2790" s="90"/>
      <c r="M2790" s="109">
        <v>1.66</v>
      </c>
    </row>
    <row r="2791" spans="1:30" s="108" customFormat="1" ht="24" customHeight="1">
      <c r="A2791" s="305"/>
      <c r="B2791" s="293" t="s">
        <v>75</v>
      </c>
      <c r="C2791" s="294">
        <v>1</v>
      </c>
      <c r="D2791" s="294">
        <v>1</v>
      </c>
      <c r="E2791" s="294">
        <v>4</v>
      </c>
      <c r="F2791" s="300">
        <v>1.8</v>
      </c>
      <c r="G2791" s="295"/>
      <c r="H2791" s="295">
        <v>0.65</v>
      </c>
      <c r="I2791" s="298">
        <f>PRODUCT(C2791:H2791)</f>
        <v>4.68</v>
      </c>
      <c r="J2791" s="312"/>
      <c r="K2791" s="88"/>
      <c r="L2791" s="90"/>
      <c r="M2791" s="109">
        <v>1.66</v>
      </c>
    </row>
    <row r="2792" spans="1:30" s="108" customFormat="1" ht="24" customHeight="1">
      <c r="A2792" s="305"/>
      <c r="B2792" s="293" t="s">
        <v>76</v>
      </c>
      <c r="C2792" s="294">
        <v>1</v>
      </c>
      <c r="D2792" s="294">
        <v>1</v>
      </c>
      <c r="E2792" s="294">
        <v>3</v>
      </c>
      <c r="F2792" s="300">
        <v>2.1</v>
      </c>
      <c r="G2792" s="295"/>
      <c r="H2792" s="295">
        <v>0.65</v>
      </c>
      <c r="I2792" s="298">
        <f>PRODUCT(C2792:H2792)</f>
        <v>4.0999999999999996</v>
      </c>
      <c r="J2792" s="312"/>
      <c r="K2792" s="88"/>
      <c r="L2792" s="90"/>
      <c r="M2792" s="109">
        <v>1.96</v>
      </c>
    </row>
    <row r="2793" spans="1:30" s="91" customFormat="1" ht="19.5" customHeight="1">
      <c r="A2793" s="278"/>
      <c r="B2793" s="286"/>
      <c r="C2793" s="280"/>
      <c r="D2793" s="280"/>
      <c r="E2793" s="280"/>
      <c r="F2793" s="463"/>
      <c r="G2793" s="282"/>
      <c r="H2793" s="282"/>
      <c r="I2793" s="416">
        <f>SUM(I2784:I2792)</f>
        <v>863.76</v>
      </c>
      <c r="J2793" s="343" t="s">
        <v>4</v>
      </c>
      <c r="K2793" s="44"/>
      <c r="L2793" s="44"/>
      <c r="M2793" s="44"/>
    </row>
    <row r="2794" spans="1:30" s="91" customFormat="1" ht="23.25" customHeight="1">
      <c r="A2794" s="278"/>
      <c r="B2794" s="286" t="s">
        <v>490</v>
      </c>
      <c r="C2794" s="280"/>
      <c r="D2794" s="280"/>
      <c r="E2794" s="280"/>
      <c r="F2794" s="282"/>
      <c r="G2794" s="282"/>
      <c r="H2794" s="282"/>
      <c r="I2794" s="416"/>
      <c r="J2794" s="278"/>
      <c r="K2794" s="46"/>
      <c r="L2794" s="46"/>
      <c r="M2794" s="46"/>
    </row>
    <row r="2795" spans="1:30" s="65" customFormat="1" ht="21.75" customHeight="1">
      <c r="A2795" s="289"/>
      <c r="B2795" s="296" t="s">
        <v>486</v>
      </c>
      <c r="C2795" s="294"/>
      <c r="D2795" s="294"/>
      <c r="E2795" s="295"/>
      <c r="F2795" s="295"/>
      <c r="G2795" s="295"/>
      <c r="H2795" s="322"/>
      <c r="I2795" s="465"/>
      <c r="J2795" s="322"/>
    </row>
    <row r="2796" spans="1:30" s="65" customFormat="1" ht="21.75" customHeight="1">
      <c r="A2796" s="294"/>
      <c r="B2796" s="297" t="s">
        <v>74</v>
      </c>
      <c r="C2796" s="294">
        <v>1</v>
      </c>
      <c r="D2796" s="294">
        <v>1</v>
      </c>
      <c r="E2796" s="294">
        <v>7</v>
      </c>
      <c r="F2796" s="295">
        <v>1.5</v>
      </c>
      <c r="G2796" s="295"/>
      <c r="H2796" s="295">
        <v>2.65</v>
      </c>
      <c r="I2796" s="298">
        <f>PRODUCT(C2796:H2796)</f>
        <v>27.83</v>
      </c>
      <c r="J2796" s="294"/>
      <c r="K2796" s="29"/>
      <c r="L2796" s="54"/>
      <c r="M2796" s="54">
        <v>1.66</v>
      </c>
    </row>
    <row r="2797" spans="1:30" s="65" customFormat="1" ht="21.75" customHeight="1">
      <c r="A2797" s="294"/>
      <c r="B2797" s="297" t="s">
        <v>75</v>
      </c>
      <c r="C2797" s="294">
        <v>1</v>
      </c>
      <c r="D2797" s="294">
        <v>5</v>
      </c>
      <c r="E2797" s="294">
        <v>1</v>
      </c>
      <c r="F2797" s="295">
        <v>1.8</v>
      </c>
      <c r="G2797" s="295"/>
      <c r="H2797" s="295">
        <v>2.65</v>
      </c>
      <c r="I2797" s="298">
        <f>PRODUCT(C2797:H2797)</f>
        <v>23.85</v>
      </c>
      <c r="J2797" s="294"/>
      <c r="K2797" s="29"/>
      <c r="L2797" s="54"/>
      <c r="M2797" s="54">
        <v>1.96</v>
      </c>
    </row>
    <row r="2798" spans="1:30" s="65" customFormat="1" ht="21.75" customHeight="1">
      <c r="A2798" s="294"/>
      <c r="B2798" s="297" t="s">
        <v>76</v>
      </c>
      <c r="C2798" s="294">
        <v>1</v>
      </c>
      <c r="D2798" s="294">
        <v>1</v>
      </c>
      <c r="E2798" s="294">
        <v>1</v>
      </c>
      <c r="F2798" s="295">
        <v>1.8</v>
      </c>
      <c r="G2798" s="295"/>
      <c r="H2798" s="295">
        <v>2.65</v>
      </c>
      <c r="I2798" s="298">
        <f>PRODUCT(C2798:H2798)</f>
        <v>4.7699999999999996</v>
      </c>
      <c r="J2798" s="294"/>
      <c r="K2798" s="29"/>
      <c r="L2798" s="54"/>
      <c r="M2798" s="54">
        <v>1.36</v>
      </c>
    </row>
    <row r="2799" spans="1:30" s="64" customFormat="1" ht="21.75" customHeight="1">
      <c r="A2799" s="289"/>
      <c r="B2799" s="290" t="s">
        <v>484</v>
      </c>
      <c r="C2799" s="294"/>
      <c r="D2799" s="294"/>
      <c r="E2799" s="294"/>
      <c r="F2799" s="294"/>
      <c r="G2799" s="295"/>
      <c r="H2799" s="322"/>
      <c r="I2799" s="465"/>
      <c r="J2799" s="322"/>
      <c r="K2799" s="29"/>
      <c r="L2799" s="54"/>
      <c r="M2799" s="65">
        <v>0</v>
      </c>
      <c r="N2799" s="65"/>
      <c r="O2799" s="65"/>
      <c r="P2799" s="65"/>
      <c r="Q2799" s="65"/>
      <c r="R2799" s="65"/>
      <c r="S2799" s="65"/>
      <c r="T2799" s="65"/>
      <c r="U2799" s="65"/>
      <c r="V2799" s="65"/>
      <c r="W2799" s="65"/>
      <c r="X2799" s="65"/>
      <c r="Y2799" s="65"/>
      <c r="Z2799" s="65"/>
      <c r="AA2799" s="65"/>
      <c r="AB2799" s="65"/>
      <c r="AC2799" s="65"/>
      <c r="AD2799" s="65"/>
    </row>
    <row r="2800" spans="1:30" s="64" customFormat="1" ht="21.75" customHeight="1">
      <c r="A2800" s="294"/>
      <c r="B2800" s="297" t="s">
        <v>75</v>
      </c>
      <c r="C2800" s="294">
        <v>2</v>
      </c>
      <c r="D2800" s="294">
        <v>3</v>
      </c>
      <c r="E2800" s="294">
        <v>1</v>
      </c>
      <c r="F2800" s="295">
        <v>1.5</v>
      </c>
      <c r="G2800" s="295"/>
      <c r="H2800" s="295">
        <v>0.9</v>
      </c>
      <c r="I2800" s="298">
        <f>PRODUCT(C2800:H2800)</f>
        <v>8.1</v>
      </c>
      <c r="J2800" s="322"/>
      <c r="K2800" s="29"/>
      <c r="L2800" s="54"/>
      <c r="M2800" s="65">
        <v>1.66</v>
      </c>
      <c r="N2800" s="65"/>
      <c r="O2800" s="65"/>
      <c r="P2800" s="65"/>
      <c r="Q2800" s="65"/>
      <c r="R2800" s="65"/>
      <c r="S2800" s="65"/>
      <c r="T2800" s="65"/>
      <c r="U2800" s="65"/>
      <c r="V2800" s="65"/>
      <c r="W2800" s="65"/>
      <c r="X2800" s="65"/>
      <c r="Y2800" s="65"/>
      <c r="Z2800" s="65"/>
      <c r="AA2800" s="65"/>
      <c r="AB2800" s="65"/>
      <c r="AC2800" s="65"/>
      <c r="AD2800" s="65"/>
    </row>
    <row r="2801" spans="1:30" s="64" customFormat="1" ht="21.75" customHeight="1">
      <c r="A2801" s="294"/>
      <c r="B2801" s="297" t="s">
        <v>76</v>
      </c>
      <c r="C2801" s="294">
        <v>2</v>
      </c>
      <c r="D2801" s="294">
        <v>1</v>
      </c>
      <c r="E2801" s="294">
        <v>1</v>
      </c>
      <c r="F2801" s="295">
        <v>1.8</v>
      </c>
      <c r="G2801" s="295"/>
      <c r="H2801" s="295">
        <v>0.9</v>
      </c>
      <c r="I2801" s="298">
        <f>PRODUCT(C2801:H2801)</f>
        <v>3.24</v>
      </c>
      <c r="J2801" s="322"/>
      <c r="K2801" s="29"/>
      <c r="L2801" s="54"/>
      <c r="M2801" s="65">
        <v>1.96</v>
      </c>
      <c r="N2801" s="65"/>
      <c r="O2801" s="65"/>
      <c r="P2801" s="65"/>
      <c r="Q2801" s="65"/>
      <c r="R2801" s="65"/>
      <c r="S2801" s="65"/>
      <c r="T2801" s="65"/>
      <c r="U2801" s="65"/>
      <c r="V2801" s="65"/>
      <c r="W2801" s="65"/>
      <c r="X2801" s="65"/>
      <c r="Y2801" s="65"/>
      <c r="Z2801" s="65"/>
      <c r="AA2801" s="65"/>
      <c r="AB2801" s="65"/>
      <c r="AC2801" s="65"/>
      <c r="AD2801" s="65"/>
    </row>
    <row r="2802" spans="1:30" s="91" customFormat="1" ht="18" customHeight="1">
      <c r="A2802" s="278"/>
      <c r="B2802" s="286"/>
      <c r="C2802" s="280"/>
      <c r="D2802" s="280"/>
      <c r="E2802" s="280"/>
      <c r="F2802" s="282"/>
      <c r="G2802" s="282"/>
      <c r="H2802" s="282"/>
      <c r="I2802" s="416">
        <f>SUM(I2796:I2801)</f>
        <v>67.790000000000006</v>
      </c>
      <c r="J2802" s="278"/>
      <c r="K2802" s="46"/>
      <c r="L2802" s="46"/>
      <c r="M2802" s="46"/>
    </row>
    <row r="2803" spans="1:30" s="91" customFormat="1" ht="18" customHeight="1">
      <c r="A2803" s="278"/>
      <c r="B2803" s="279"/>
      <c r="C2803" s="280"/>
      <c r="D2803" s="280"/>
      <c r="E2803" s="280"/>
      <c r="F2803" s="282"/>
      <c r="G2803" s="282"/>
      <c r="H2803" s="282"/>
      <c r="I2803" s="416">
        <f>SUM(I2802+I2793+I2784+I2782+I2780+I2778+I2776+I2772+I2770+I2768+I2766+I2764+I2756)</f>
        <v>7796.98</v>
      </c>
      <c r="J2803" s="287" t="s">
        <v>4</v>
      </c>
      <c r="K2803" s="42"/>
      <c r="L2803" s="42"/>
      <c r="M2803" s="42"/>
    </row>
    <row r="2804" spans="1:30" s="91" customFormat="1" ht="18.75" customHeight="1">
      <c r="A2804" s="278"/>
      <c r="B2804" s="279"/>
      <c r="C2804" s="280"/>
      <c r="D2804" s="280"/>
      <c r="E2804" s="280"/>
      <c r="F2804" s="282"/>
      <c r="G2804" s="282"/>
      <c r="H2804" s="282" t="s">
        <v>55</v>
      </c>
      <c r="I2804" s="416">
        <f>ROUNDUP(I2803,0)</f>
        <v>7797</v>
      </c>
      <c r="J2804" s="287" t="s">
        <v>4</v>
      </c>
      <c r="K2804" s="42"/>
      <c r="L2804" s="42"/>
      <c r="M2804" s="42"/>
    </row>
    <row r="2805" spans="1:30" s="45" customFormat="1" ht="23.25" customHeight="1">
      <c r="A2805" s="278"/>
      <c r="B2805" s="286" t="s">
        <v>483</v>
      </c>
      <c r="C2805" s="278"/>
      <c r="D2805" s="280"/>
      <c r="E2805" s="278"/>
      <c r="F2805" s="282"/>
      <c r="G2805" s="282"/>
      <c r="H2805" s="282"/>
      <c r="I2805" s="283"/>
      <c r="J2805" s="278"/>
      <c r="K2805" s="46"/>
      <c r="L2805" s="46"/>
      <c r="M2805" s="46"/>
    </row>
    <row r="2806" spans="1:30" s="91" customFormat="1" ht="23.25" customHeight="1">
      <c r="A2806" s="278"/>
      <c r="B2806" s="286" t="s">
        <v>482</v>
      </c>
      <c r="C2806" s="280"/>
      <c r="D2806" s="280"/>
      <c r="E2806" s="280"/>
      <c r="F2806" s="282"/>
      <c r="G2806" s="282"/>
      <c r="H2806" s="282"/>
      <c r="I2806" s="283"/>
      <c r="J2806" s="278"/>
      <c r="K2806" s="46"/>
      <c r="L2806" s="46"/>
      <c r="M2806" s="46"/>
    </row>
    <row r="2807" spans="1:30" s="73" customFormat="1" ht="23.25" customHeight="1">
      <c r="A2807" s="278"/>
      <c r="B2807" s="279" t="s">
        <v>477</v>
      </c>
      <c r="C2807" s="280">
        <v>1</v>
      </c>
      <c r="D2807" s="280">
        <v>1</v>
      </c>
      <c r="E2807" s="280">
        <v>2</v>
      </c>
      <c r="F2807" s="282">
        <v>10.84</v>
      </c>
      <c r="G2807" s="282"/>
      <c r="H2807" s="282">
        <v>2</v>
      </c>
      <c r="I2807" s="283">
        <f>PRODUCT(C2807:H2807)</f>
        <v>43.36</v>
      </c>
      <c r="J2807" s="284"/>
      <c r="K2807" s="43">
        <f>2.6+0.46+1.9+0.46</f>
        <v>5.42</v>
      </c>
      <c r="L2807" s="43">
        <f>K2807*2</f>
        <v>10.84</v>
      </c>
      <c r="M2807" s="43"/>
      <c r="N2807" s="74">
        <f>3.06+2.36+3.06+2.36</f>
        <v>10.84</v>
      </c>
      <c r="O2807" s="74">
        <f>1.9+0.46</f>
        <v>2.36</v>
      </c>
      <c r="P2807" s="74"/>
      <c r="Q2807" s="74"/>
      <c r="R2807" s="74"/>
      <c r="S2807" s="74"/>
      <c r="T2807" s="74"/>
      <c r="U2807" s="74"/>
      <c r="V2807" s="74"/>
      <c r="W2807" s="74"/>
      <c r="X2807" s="74"/>
      <c r="Y2807" s="74"/>
      <c r="Z2807" s="74"/>
      <c r="AA2807" s="74"/>
      <c r="AB2807" s="74"/>
      <c r="AC2807" s="74"/>
      <c r="AD2807" s="74"/>
    </row>
    <row r="2808" spans="1:30" s="73" customFormat="1" ht="23.25" customHeight="1">
      <c r="A2808" s="278"/>
      <c r="B2808" s="279" t="s">
        <v>476</v>
      </c>
      <c r="C2808" s="280">
        <v>1</v>
      </c>
      <c r="D2808" s="280">
        <v>1</v>
      </c>
      <c r="E2808" s="280">
        <v>2</v>
      </c>
      <c r="F2808" s="282">
        <v>9</v>
      </c>
      <c r="G2808" s="282"/>
      <c r="H2808" s="282">
        <v>2</v>
      </c>
      <c r="I2808" s="283">
        <f>PRODUCT(C2808:H2808)</f>
        <v>36</v>
      </c>
      <c r="J2808" s="284"/>
      <c r="K2808" s="43"/>
      <c r="L2808" s="43"/>
      <c r="M2808" s="43"/>
      <c r="N2808" s="74">
        <f>2.6+1.9+2.6+1.9</f>
        <v>9</v>
      </c>
      <c r="O2808" s="74"/>
      <c r="P2808" s="74"/>
      <c r="Q2808" s="74"/>
      <c r="R2808" s="74"/>
      <c r="S2808" s="74"/>
      <c r="T2808" s="74"/>
      <c r="U2808" s="74"/>
      <c r="V2808" s="74"/>
      <c r="W2808" s="74"/>
      <c r="X2808" s="74"/>
      <c r="Y2808" s="74"/>
      <c r="Z2808" s="74"/>
      <c r="AA2808" s="74"/>
      <c r="AB2808" s="74"/>
      <c r="AC2808" s="74"/>
      <c r="AD2808" s="74"/>
    </row>
    <row r="2809" spans="1:30" s="73" customFormat="1" ht="23.25" customHeight="1">
      <c r="A2809" s="278"/>
      <c r="B2809" s="279" t="s">
        <v>475</v>
      </c>
      <c r="C2809" s="280">
        <v>1</v>
      </c>
      <c r="D2809" s="280">
        <v>1</v>
      </c>
      <c r="E2809" s="280">
        <v>1</v>
      </c>
      <c r="F2809" s="282">
        <v>12.44</v>
      </c>
      <c r="G2809" s="282"/>
      <c r="H2809" s="282">
        <v>2</v>
      </c>
      <c r="I2809" s="283">
        <f>PRODUCT(C2809:H2809)</f>
        <v>24.88</v>
      </c>
      <c r="J2809" s="284"/>
      <c r="K2809" s="43"/>
      <c r="L2809" s="43"/>
      <c r="M2809" s="43"/>
      <c r="N2809" s="74">
        <f>2.3+0.46</f>
        <v>2.76</v>
      </c>
      <c r="O2809" s="74">
        <f>3+0.46</f>
        <v>3.46</v>
      </c>
      <c r="P2809" s="74">
        <f>N2809+O2809</f>
        <v>6.22</v>
      </c>
      <c r="Q2809" s="74">
        <f>P2809*2</f>
        <v>12.44</v>
      </c>
      <c r="R2809" s="74"/>
      <c r="S2809" s="74"/>
      <c r="T2809" s="74"/>
      <c r="U2809" s="74"/>
      <c r="V2809" s="74"/>
      <c r="W2809" s="74"/>
      <c r="X2809" s="74"/>
      <c r="Y2809" s="74"/>
      <c r="Z2809" s="74"/>
      <c r="AA2809" s="74"/>
      <c r="AB2809" s="74"/>
      <c r="AC2809" s="74"/>
      <c r="AD2809" s="74"/>
    </row>
    <row r="2810" spans="1:30" s="73" customFormat="1" ht="23.25" customHeight="1">
      <c r="A2810" s="278"/>
      <c r="B2810" s="279" t="s">
        <v>474</v>
      </c>
      <c r="C2810" s="280">
        <v>1</v>
      </c>
      <c r="D2810" s="280">
        <v>1</v>
      </c>
      <c r="E2810" s="280">
        <v>1</v>
      </c>
      <c r="F2810" s="282">
        <v>10.6</v>
      </c>
      <c r="G2810" s="282"/>
      <c r="H2810" s="282">
        <v>2</v>
      </c>
      <c r="I2810" s="283">
        <f>PRODUCT(C2810:H2810)</f>
        <v>21.2</v>
      </c>
      <c r="J2810" s="284"/>
      <c r="K2810" s="43"/>
      <c r="L2810" s="43"/>
      <c r="M2810" s="43"/>
      <c r="N2810" s="74">
        <f>2.3+3+2.3+3</f>
        <v>10.6</v>
      </c>
      <c r="O2810" s="74"/>
      <c r="P2810" s="74"/>
      <c r="Q2810" s="74"/>
      <c r="R2810" s="74"/>
      <c r="S2810" s="74"/>
      <c r="T2810" s="74"/>
      <c r="U2810" s="74"/>
      <c r="V2810" s="74"/>
      <c r="W2810" s="74"/>
      <c r="X2810" s="74"/>
      <c r="Y2810" s="74"/>
      <c r="Z2810" s="74"/>
      <c r="AA2810" s="74"/>
      <c r="AB2810" s="74"/>
      <c r="AC2810" s="74"/>
      <c r="AD2810" s="74"/>
    </row>
    <row r="2811" spans="1:30" s="91" customFormat="1" ht="23.25" customHeight="1">
      <c r="A2811" s="278"/>
      <c r="B2811" s="279"/>
      <c r="C2811" s="280"/>
      <c r="D2811" s="280"/>
      <c r="E2811" s="280"/>
      <c r="F2811" s="282"/>
      <c r="G2811" s="282"/>
      <c r="H2811" s="282"/>
      <c r="I2811" s="416">
        <f>SUM(I2807:I2810)</f>
        <v>125.44</v>
      </c>
      <c r="J2811" s="343" t="s">
        <v>4</v>
      </c>
      <c r="K2811" s="44"/>
      <c r="L2811" s="44"/>
      <c r="M2811" s="44"/>
    </row>
    <row r="2812" spans="1:30" s="91" customFormat="1" ht="23.25" customHeight="1">
      <c r="A2812" s="278"/>
      <c r="B2812" s="286" t="s">
        <v>481</v>
      </c>
      <c r="C2812" s="280"/>
      <c r="D2812" s="280"/>
      <c r="E2812" s="280"/>
      <c r="F2812" s="282"/>
      <c r="G2812" s="282"/>
      <c r="H2812" s="282"/>
      <c r="I2812" s="283"/>
      <c r="J2812" s="278"/>
      <c r="K2812" s="46"/>
      <c r="L2812" s="46"/>
      <c r="M2812" s="46"/>
    </row>
    <row r="2813" spans="1:30" s="73" customFormat="1" ht="23.25" customHeight="1">
      <c r="A2813" s="278"/>
      <c r="B2813" s="279" t="s">
        <v>477</v>
      </c>
      <c r="C2813" s="280">
        <v>1</v>
      </c>
      <c r="D2813" s="280">
        <v>1</v>
      </c>
      <c r="E2813" s="280">
        <v>2</v>
      </c>
      <c r="F2813" s="282">
        <v>10.84</v>
      </c>
      <c r="G2813" s="282"/>
      <c r="H2813" s="282">
        <v>2.65</v>
      </c>
      <c r="I2813" s="283">
        <f t="shared" ref="I2813:I2820" si="132">PRODUCT(C2813:H2813)</f>
        <v>57.45</v>
      </c>
      <c r="J2813" s="284"/>
      <c r="K2813" s="43">
        <f>2.85-0.4</f>
        <v>2.4500000000000002</v>
      </c>
      <c r="L2813" s="43"/>
      <c r="M2813" s="43"/>
      <c r="N2813" s="74"/>
      <c r="O2813" s="74"/>
      <c r="P2813" s="74"/>
      <c r="Q2813" s="74"/>
      <c r="R2813" s="74"/>
      <c r="S2813" s="74"/>
      <c r="T2813" s="74"/>
      <c r="U2813" s="74"/>
      <c r="V2813" s="74"/>
      <c r="W2813" s="74"/>
      <c r="X2813" s="74"/>
      <c r="Y2813" s="74"/>
      <c r="Z2813" s="74"/>
      <c r="AA2813" s="74"/>
      <c r="AB2813" s="74"/>
      <c r="AC2813" s="74"/>
      <c r="AD2813" s="74"/>
    </row>
    <row r="2814" spans="1:30" s="73" customFormat="1" ht="23.25" customHeight="1">
      <c r="A2814" s="278"/>
      <c r="B2814" s="279" t="s">
        <v>476</v>
      </c>
      <c r="C2814" s="280">
        <v>1</v>
      </c>
      <c r="D2814" s="280">
        <v>1</v>
      </c>
      <c r="E2814" s="280">
        <v>2</v>
      </c>
      <c r="F2814" s="282">
        <v>9</v>
      </c>
      <c r="G2814" s="282"/>
      <c r="H2814" s="282">
        <v>2.65</v>
      </c>
      <c r="I2814" s="283">
        <f t="shared" si="132"/>
        <v>47.7</v>
      </c>
      <c r="J2814" s="284"/>
      <c r="K2814" s="43"/>
      <c r="L2814" s="43"/>
      <c r="M2814" s="43"/>
      <c r="N2814" s="74"/>
      <c r="O2814" s="74"/>
      <c r="P2814" s="74"/>
      <c r="Q2814" s="74"/>
      <c r="R2814" s="74"/>
      <c r="S2814" s="74"/>
      <c r="T2814" s="74"/>
      <c r="U2814" s="74"/>
      <c r="V2814" s="74"/>
      <c r="W2814" s="74"/>
      <c r="X2814" s="74"/>
      <c r="Y2814" s="74"/>
      <c r="Z2814" s="74"/>
      <c r="AA2814" s="74"/>
      <c r="AB2814" s="74"/>
      <c r="AC2814" s="74"/>
      <c r="AD2814" s="74"/>
    </row>
    <row r="2815" spans="1:30" s="73" customFormat="1" ht="23.25" customHeight="1">
      <c r="A2815" s="278"/>
      <c r="B2815" s="279" t="s">
        <v>475</v>
      </c>
      <c r="C2815" s="280">
        <v>1</v>
      </c>
      <c r="D2815" s="280">
        <v>1</v>
      </c>
      <c r="E2815" s="280">
        <v>1</v>
      </c>
      <c r="F2815" s="282">
        <v>12.44</v>
      </c>
      <c r="G2815" s="282"/>
      <c r="H2815" s="282">
        <v>2.65</v>
      </c>
      <c r="I2815" s="283">
        <f t="shared" si="132"/>
        <v>32.97</v>
      </c>
      <c r="J2815" s="284"/>
      <c r="K2815" s="43"/>
      <c r="L2815" s="43"/>
      <c r="M2815" s="43"/>
      <c r="N2815" s="74"/>
      <c r="O2815" s="74"/>
      <c r="P2815" s="74"/>
      <c r="Q2815" s="74"/>
      <c r="R2815" s="74"/>
      <c r="S2815" s="74"/>
      <c r="T2815" s="74"/>
      <c r="U2815" s="74"/>
      <c r="V2815" s="74"/>
      <c r="W2815" s="74"/>
      <c r="X2815" s="74"/>
      <c r="Y2815" s="74"/>
      <c r="Z2815" s="74"/>
      <c r="AA2815" s="74"/>
      <c r="AB2815" s="74"/>
      <c r="AC2815" s="74"/>
      <c r="AD2815" s="74"/>
    </row>
    <row r="2816" spans="1:30" s="73" customFormat="1" ht="23.25" customHeight="1">
      <c r="A2816" s="278"/>
      <c r="B2816" s="279" t="s">
        <v>474</v>
      </c>
      <c r="C2816" s="280">
        <v>1</v>
      </c>
      <c r="D2816" s="280">
        <v>1</v>
      </c>
      <c r="E2816" s="280">
        <v>1</v>
      </c>
      <c r="F2816" s="282">
        <v>10.6</v>
      </c>
      <c r="G2816" s="282"/>
      <c r="H2816" s="282">
        <v>2.65</v>
      </c>
      <c r="I2816" s="283">
        <f t="shared" si="132"/>
        <v>28.09</v>
      </c>
      <c r="J2816" s="284"/>
      <c r="K2816" s="43"/>
      <c r="L2816" s="43"/>
      <c r="M2816" s="43"/>
      <c r="N2816" s="74"/>
      <c r="O2816" s="74"/>
      <c r="P2816" s="74"/>
      <c r="Q2816" s="74"/>
      <c r="R2816" s="74"/>
      <c r="S2816" s="74"/>
      <c r="T2816" s="74"/>
      <c r="U2816" s="74"/>
      <c r="V2816" s="74"/>
      <c r="W2816" s="74"/>
      <c r="X2816" s="74"/>
      <c r="Y2816" s="74"/>
      <c r="Z2816" s="74"/>
      <c r="AA2816" s="74"/>
      <c r="AB2816" s="74"/>
      <c r="AC2816" s="74"/>
      <c r="AD2816" s="74"/>
    </row>
    <row r="2817" spans="1:30" s="73" customFormat="1" ht="23.25" customHeight="1">
      <c r="A2817" s="278"/>
      <c r="B2817" s="279" t="s">
        <v>117</v>
      </c>
      <c r="C2817" s="280">
        <v>-1</v>
      </c>
      <c r="D2817" s="280">
        <v>1</v>
      </c>
      <c r="E2817" s="280">
        <v>2</v>
      </c>
      <c r="F2817" s="282">
        <v>1</v>
      </c>
      <c r="G2817" s="282"/>
      <c r="H2817" s="282">
        <v>2.1</v>
      </c>
      <c r="I2817" s="283">
        <f t="shared" si="132"/>
        <v>-4.2</v>
      </c>
      <c r="J2817" s="284"/>
      <c r="K2817" s="43"/>
      <c r="L2817" s="43"/>
      <c r="M2817" s="43"/>
      <c r="N2817" s="74"/>
      <c r="O2817" s="74"/>
      <c r="P2817" s="74"/>
      <c r="Q2817" s="74"/>
      <c r="R2817" s="74"/>
      <c r="S2817" s="74"/>
      <c r="T2817" s="74"/>
      <c r="U2817" s="74"/>
      <c r="V2817" s="74"/>
      <c r="W2817" s="74"/>
      <c r="X2817" s="74"/>
      <c r="Y2817" s="74"/>
      <c r="Z2817" s="74"/>
      <c r="AA2817" s="74"/>
      <c r="AB2817" s="74"/>
      <c r="AC2817" s="74"/>
      <c r="AD2817" s="74"/>
    </row>
    <row r="2818" spans="1:30" s="73" customFormat="1" ht="23.25" customHeight="1">
      <c r="A2818" s="278"/>
      <c r="B2818" s="279" t="s">
        <v>473</v>
      </c>
      <c r="C2818" s="280">
        <v>-1</v>
      </c>
      <c r="D2818" s="280">
        <v>1</v>
      </c>
      <c r="E2818" s="280">
        <v>1</v>
      </c>
      <c r="F2818" s="282">
        <v>1.2</v>
      </c>
      <c r="G2818" s="282"/>
      <c r="H2818" s="282">
        <v>2.2999999999999998</v>
      </c>
      <c r="I2818" s="283">
        <f t="shared" si="132"/>
        <v>-2.76</v>
      </c>
      <c r="J2818" s="284"/>
      <c r="K2818" s="43"/>
      <c r="L2818" s="43"/>
      <c r="M2818" s="43"/>
      <c r="N2818" s="74"/>
      <c r="O2818" s="74"/>
      <c r="P2818" s="74"/>
      <c r="Q2818" s="74"/>
      <c r="R2818" s="74"/>
      <c r="S2818" s="74"/>
      <c r="T2818" s="74"/>
      <c r="U2818" s="74"/>
      <c r="V2818" s="74"/>
      <c r="W2818" s="74"/>
      <c r="X2818" s="74"/>
      <c r="Y2818" s="74"/>
      <c r="Z2818" s="74"/>
      <c r="AA2818" s="74"/>
      <c r="AB2818" s="74"/>
      <c r="AC2818" s="74"/>
      <c r="AD2818" s="74"/>
    </row>
    <row r="2819" spans="1:30" s="73" customFormat="1" ht="23.25" customHeight="1">
      <c r="A2819" s="278"/>
      <c r="B2819" s="279" t="s">
        <v>471</v>
      </c>
      <c r="C2819" s="280">
        <v>1</v>
      </c>
      <c r="D2819" s="280">
        <v>1</v>
      </c>
      <c r="E2819" s="280">
        <v>2</v>
      </c>
      <c r="F2819" s="282">
        <v>5.2</v>
      </c>
      <c r="G2819" s="282">
        <v>0.23</v>
      </c>
      <c r="H2819" s="282"/>
      <c r="I2819" s="283">
        <f t="shared" si="132"/>
        <v>2.39</v>
      </c>
      <c r="J2819" s="284"/>
      <c r="K2819" s="43"/>
      <c r="L2819" s="43"/>
      <c r="M2819" s="43"/>
      <c r="N2819" s="74">
        <f>1+2.1+2.1</f>
        <v>5.2</v>
      </c>
      <c r="O2819" s="74"/>
      <c r="P2819" s="74"/>
      <c r="Q2819" s="74"/>
      <c r="R2819" s="74"/>
      <c r="S2819" s="74"/>
      <c r="T2819" s="74"/>
      <c r="U2819" s="74"/>
      <c r="V2819" s="74"/>
      <c r="W2819" s="74"/>
      <c r="X2819" s="74"/>
      <c r="Y2819" s="74"/>
      <c r="Z2819" s="74"/>
      <c r="AA2819" s="74"/>
      <c r="AB2819" s="74"/>
      <c r="AC2819" s="74"/>
      <c r="AD2819" s="74"/>
    </row>
    <row r="2820" spans="1:30" s="73" customFormat="1" ht="23.25" customHeight="1">
      <c r="A2820" s="278"/>
      <c r="B2820" s="279" t="s">
        <v>480</v>
      </c>
      <c r="C2820" s="280">
        <v>1</v>
      </c>
      <c r="D2820" s="280">
        <v>1</v>
      </c>
      <c r="E2820" s="280">
        <v>1</v>
      </c>
      <c r="F2820" s="282">
        <v>5.8</v>
      </c>
      <c r="G2820" s="282">
        <v>0.23</v>
      </c>
      <c r="H2820" s="282"/>
      <c r="I2820" s="283">
        <f t="shared" si="132"/>
        <v>1.33</v>
      </c>
      <c r="J2820" s="284"/>
      <c r="K2820" s="43"/>
      <c r="L2820" s="43"/>
      <c r="M2820" s="43"/>
      <c r="N2820" s="74">
        <f>1.2+2.3+2.3</f>
        <v>5.8</v>
      </c>
      <c r="O2820" s="74"/>
      <c r="P2820" s="74"/>
      <c r="Q2820" s="74"/>
      <c r="R2820" s="74"/>
      <c r="S2820" s="74"/>
      <c r="T2820" s="74"/>
      <c r="U2820" s="74"/>
      <c r="V2820" s="74"/>
      <c r="W2820" s="74"/>
      <c r="X2820" s="74"/>
      <c r="Y2820" s="74"/>
      <c r="Z2820" s="74"/>
      <c r="AA2820" s="74"/>
      <c r="AB2820" s="74"/>
      <c r="AC2820" s="74"/>
      <c r="AD2820" s="74"/>
    </row>
    <row r="2821" spans="1:30" s="91" customFormat="1" ht="23.25" customHeight="1">
      <c r="A2821" s="278"/>
      <c r="B2821" s="279"/>
      <c r="C2821" s="280"/>
      <c r="D2821" s="280"/>
      <c r="E2821" s="280"/>
      <c r="F2821" s="282"/>
      <c r="G2821" s="282"/>
      <c r="H2821" s="282"/>
      <c r="I2821" s="416">
        <f>SUM(I2813:I2820)</f>
        <v>162.97</v>
      </c>
      <c r="J2821" s="343" t="s">
        <v>4</v>
      </c>
      <c r="K2821" s="44"/>
      <c r="L2821" s="44"/>
      <c r="M2821" s="44"/>
    </row>
    <row r="2822" spans="1:30" s="91" customFormat="1" ht="23.25" customHeight="1">
      <c r="A2822" s="278"/>
      <c r="B2822" s="286" t="s">
        <v>479</v>
      </c>
      <c r="C2822" s="280"/>
      <c r="D2822" s="280"/>
      <c r="E2822" s="280"/>
      <c r="F2822" s="282"/>
      <c r="G2822" s="282"/>
      <c r="H2822" s="282"/>
      <c r="I2822" s="283"/>
      <c r="J2822" s="278"/>
      <c r="K2822" s="46"/>
      <c r="L2822" s="46"/>
      <c r="M2822" s="46"/>
    </row>
    <row r="2823" spans="1:30" s="91" customFormat="1" ht="23.25" customHeight="1">
      <c r="A2823" s="278"/>
      <c r="B2823" s="286" t="s">
        <v>283</v>
      </c>
      <c r="C2823" s="280"/>
      <c r="D2823" s="280"/>
      <c r="E2823" s="280"/>
      <c r="F2823" s="282"/>
      <c r="G2823" s="282"/>
      <c r="H2823" s="282"/>
      <c r="I2823" s="416">
        <f>I2821</f>
        <v>162.97</v>
      </c>
      <c r="J2823" s="287" t="s">
        <v>4</v>
      </c>
      <c r="K2823" s="42"/>
      <c r="L2823" s="42"/>
      <c r="M2823" s="42"/>
    </row>
    <row r="2824" spans="1:30" s="91" customFormat="1" ht="23.25" customHeight="1">
      <c r="A2824" s="278"/>
      <c r="B2824" s="286" t="s">
        <v>296</v>
      </c>
      <c r="C2824" s="280"/>
      <c r="D2824" s="280"/>
      <c r="E2824" s="280"/>
      <c r="F2824" s="282"/>
      <c r="G2824" s="282"/>
      <c r="H2824" s="282"/>
      <c r="I2824" s="416"/>
      <c r="J2824" s="278"/>
      <c r="K2824" s="46"/>
      <c r="L2824" s="46"/>
      <c r="M2824" s="46"/>
    </row>
    <row r="2825" spans="1:30" s="91" customFormat="1" ht="23.25" customHeight="1">
      <c r="A2825" s="278"/>
      <c r="B2825" s="286" t="s">
        <v>283</v>
      </c>
      <c r="C2825" s="280"/>
      <c r="D2825" s="280"/>
      <c r="E2825" s="280"/>
      <c r="F2825" s="282"/>
      <c r="G2825" s="282"/>
      <c r="H2825" s="282"/>
      <c r="I2825" s="416">
        <f>I2823</f>
        <v>162.97</v>
      </c>
      <c r="J2825" s="287" t="s">
        <v>4</v>
      </c>
      <c r="K2825" s="42"/>
      <c r="L2825" s="42"/>
      <c r="M2825" s="42"/>
    </row>
    <row r="2826" spans="1:30" s="91" customFormat="1" ht="23.25" customHeight="1">
      <c r="A2826" s="278"/>
      <c r="B2826" s="286" t="s">
        <v>295</v>
      </c>
      <c r="C2826" s="280"/>
      <c r="D2826" s="280"/>
      <c r="E2826" s="280"/>
      <c r="F2826" s="282"/>
      <c r="G2826" s="282"/>
      <c r="H2826" s="282"/>
      <c r="I2826" s="416"/>
      <c r="J2826" s="278"/>
      <c r="K2826" s="46"/>
      <c r="L2826" s="46"/>
      <c r="M2826" s="46"/>
    </row>
    <row r="2827" spans="1:30" s="91" customFormat="1" ht="23.25" customHeight="1">
      <c r="A2827" s="278"/>
      <c r="B2827" s="286" t="s">
        <v>283</v>
      </c>
      <c r="C2827" s="280"/>
      <c r="D2827" s="280"/>
      <c r="E2827" s="280"/>
      <c r="F2827" s="282"/>
      <c r="G2827" s="282"/>
      <c r="H2827" s="282"/>
      <c r="I2827" s="416">
        <f>I2825</f>
        <v>162.97</v>
      </c>
      <c r="J2827" s="287" t="s">
        <v>4</v>
      </c>
      <c r="K2827" s="42"/>
      <c r="L2827" s="42"/>
      <c r="M2827" s="42"/>
    </row>
    <row r="2828" spans="1:30" s="91" customFormat="1" ht="23.25" customHeight="1">
      <c r="A2828" s="278"/>
      <c r="B2828" s="286" t="s">
        <v>294</v>
      </c>
      <c r="C2828" s="280"/>
      <c r="D2828" s="280"/>
      <c r="E2828" s="280"/>
      <c r="F2828" s="282"/>
      <c r="G2828" s="282"/>
      <c r="H2828" s="282"/>
      <c r="I2828" s="416"/>
      <c r="J2828" s="278"/>
      <c r="K2828" s="46"/>
      <c r="L2828" s="46"/>
      <c r="M2828" s="46"/>
    </row>
    <row r="2829" spans="1:30" s="91" customFormat="1" ht="23.25" customHeight="1">
      <c r="A2829" s="278"/>
      <c r="B2829" s="286" t="s">
        <v>283</v>
      </c>
      <c r="C2829" s="280"/>
      <c r="D2829" s="280"/>
      <c r="E2829" s="280"/>
      <c r="F2829" s="282"/>
      <c r="G2829" s="282"/>
      <c r="H2829" s="282"/>
      <c r="I2829" s="416">
        <f>I2827</f>
        <v>162.97</v>
      </c>
      <c r="J2829" s="287" t="s">
        <v>4</v>
      </c>
      <c r="K2829" s="42"/>
      <c r="L2829" s="42"/>
      <c r="M2829" s="42"/>
    </row>
    <row r="2830" spans="1:30" s="91" customFormat="1" ht="23.25" customHeight="1">
      <c r="A2830" s="278"/>
      <c r="B2830" s="286" t="s">
        <v>293</v>
      </c>
      <c r="C2830" s="280"/>
      <c r="D2830" s="280"/>
      <c r="E2830" s="280"/>
      <c r="F2830" s="282"/>
      <c r="G2830" s="282"/>
      <c r="H2830" s="282"/>
      <c r="I2830" s="416"/>
      <c r="J2830" s="278"/>
      <c r="K2830" s="46"/>
      <c r="L2830" s="46"/>
      <c r="M2830" s="46"/>
    </row>
    <row r="2831" spans="1:30" s="91" customFormat="1" ht="23.25" customHeight="1">
      <c r="A2831" s="278"/>
      <c r="B2831" s="286" t="s">
        <v>283</v>
      </c>
      <c r="C2831" s="280"/>
      <c r="D2831" s="280"/>
      <c r="E2831" s="280"/>
      <c r="F2831" s="282"/>
      <c r="G2831" s="282"/>
      <c r="H2831" s="282"/>
      <c r="I2831" s="416">
        <f>I2829</f>
        <v>162.97</v>
      </c>
      <c r="J2831" s="287" t="s">
        <v>4</v>
      </c>
      <c r="K2831" s="42"/>
      <c r="L2831" s="42"/>
      <c r="M2831" s="42"/>
    </row>
    <row r="2832" spans="1:30" s="91" customFormat="1" ht="23.25" customHeight="1">
      <c r="A2832" s="278"/>
      <c r="B2832" s="286" t="s">
        <v>292</v>
      </c>
      <c r="C2832" s="280"/>
      <c r="D2832" s="280"/>
      <c r="E2832" s="280"/>
      <c r="F2832" s="282"/>
      <c r="G2832" s="282"/>
      <c r="H2832" s="282"/>
      <c r="I2832" s="416"/>
      <c r="J2832" s="278"/>
      <c r="K2832" s="46"/>
      <c r="L2832" s="46"/>
      <c r="M2832" s="46"/>
    </row>
    <row r="2833" spans="1:30" s="91" customFormat="1" ht="23.25" customHeight="1">
      <c r="A2833" s="278"/>
      <c r="B2833" s="286" t="s">
        <v>283</v>
      </c>
      <c r="C2833" s="280"/>
      <c r="D2833" s="280"/>
      <c r="E2833" s="280"/>
      <c r="F2833" s="282"/>
      <c r="G2833" s="282"/>
      <c r="H2833" s="282"/>
      <c r="I2833" s="416">
        <f>I2831</f>
        <v>162.97</v>
      </c>
      <c r="J2833" s="287" t="s">
        <v>4</v>
      </c>
      <c r="K2833" s="42"/>
      <c r="L2833" s="42"/>
      <c r="M2833" s="42"/>
    </row>
    <row r="2834" spans="1:30" s="91" customFormat="1" ht="23.25" customHeight="1">
      <c r="A2834" s="278"/>
      <c r="B2834" s="286" t="s">
        <v>291</v>
      </c>
      <c r="C2834" s="280"/>
      <c r="D2834" s="280"/>
      <c r="E2834" s="280"/>
      <c r="F2834" s="282"/>
      <c r="G2834" s="282"/>
      <c r="H2834" s="282"/>
      <c r="I2834" s="416"/>
      <c r="J2834" s="278"/>
      <c r="K2834" s="46"/>
      <c r="L2834" s="46"/>
      <c r="M2834" s="46"/>
    </row>
    <row r="2835" spans="1:30" s="91" customFormat="1" ht="23.25" customHeight="1">
      <c r="A2835" s="278"/>
      <c r="B2835" s="286" t="s">
        <v>283</v>
      </c>
      <c r="C2835" s="280"/>
      <c r="D2835" s="280"/>
      <c r="E2835" s="280"/>
      <c r="F2835" s="282"/>
      <c r="G2835" s="282"/>
      <c r="H2835" s="282"/>
      <c r="I2835" s="416">
        <f>I2833</f>
        <v>162.97</v>
      </c>
      <c r="J2835" s="287" t="s">
        <v>4</v>
      </c>
      <c r="K2835" s="42"/>
      <c r="L2835" s="42"/>
      <c r="M2835" s="42"/>
    </row>
    <row r="2836" spans="1:30" s="91" customFormat="1" ht="23.25" customHeight="1">
      <c r="A2836" s="278"/>
      <c r="B2836" s="286" t="s">
        <v>290</v>
      </c>
      <c r="C2836" s="280"/>
      <c r="D2836" s="280"/>
      <c r="E2836" s="280"/>
      <c r="F2836" s="282"/>
      <c r="G2836" s="282"/>
      <c r="H2836" s="282"/>
      <c r="I2836" s="416"/>
      <c r="J2836" s="278"/>
      <c r="K2836" s="46"/>
      <c r="L2836" s="46"/>
      <c r="M2836" s="46"/>
    </row>
    <row r="2837" spans="1:30" s="91" customFormat="1" ht="23.25" customHeight="1">
      <c r="A2837" s="278"/>
      <c r="B2837" s="286" t="s">
        <v>283</v>
      </c>
      <c r="C2837" s="280"/>
      <c r="D2837" s="280"/>
      <c r="E2837" s="280"/>
      <c r="F2837" s="282"/>
      <c r="G2837" s="282"/>
      <c r="H2837" s="282"/>
      <c r="I2837" s="416">
        <f>I2835</f>
        <v>162.97</v>
      </c>
      <c r="J2837" s="287" t="s">
        <v>4</v>
      </c>
      <c r="K2837" s="42"/>
      <c r="L2837" s="42"/>
      <c r="M2837" s="42"/>
    </row>
    <row r="2838" spans="1:30" s="91" customFormat="1" ht="23.25" customHeight="1">
      <c r="A2838" s="278"/>
      <c r="B2838" s="286" t="s">
        <v>289</v>
      </c>
      <c r="C2838" s="280"/>
      <c r="D2838" s="280"/>
      <c r="E2838" s="280"/>
      <c r="F2838" s="282"/>
      <c r="G2838" s="282"/>
      <c r="H2838" s="282"/>
      <c r="I2838" s="416"/>
      <c r="J2838" s="278"/>
      <c r="K2838" s="46"/>
      <c r="L2838" s="46"/>
      <c r="M2838" s="46"/>
    </row>
    <row r="2839" spans="1:30" s="91" customFormat="1" ht="23.25" customHeight="1">
      <c r="A2839" s="278"/>
      <c r="B2839" s="286" t="s">
        <v>283</v>
      </c>
      <c r="C2839" s="280"/>
      <c r="D2839" s="280"/>
      <c r="E2839" s="280"/>
      <c r="F2839" s="282"/>
      <c r="G2839" s="282"/>
      <c r="H2839" s="282"/>
      <c r="I2839" s="416">
        <f>I2837</f>
        <v>162.97</v>
      </c>
      <c r="J2839" s="287" t="s">
        <v>4</v>
      </c>
      <c r="K2839" s="42"/>
      <c r="L2839" s="42"/>
      <c r="M2839" s="42"/>
    </row>
    <row r="2840" spans="1:30" s="91" customFormat="1" ht="23.25" customHeight="1">
      <c r="A2840" s="278"/>
      <c r="B2840" s="286" t="s">
        <v>288</v>
      </c>
      <c r="C2840" s="280"/>
      <c r="D2840" s="280"/>
      <c r="E2840" s="280"/>
      <c r="F2840" s="282"/>
      <c r="G2840" s="282"/>
      <c r="H2840" s="282"/>
      <c r="I2840" s="416"/>
      <c r="J2840" s="278"/>
      <c r="K2840" s="46"/>
      <c r="L2840" s="46"/>
      <c r="M2840" s="46"/>
    </row>
    <row r="2841" spans="1:30" s="91" customFormat="1" ht="23.25" customHeight="1">
      <c r="A2841" s="278"/>
      <c r="B2841" s="286" t="s">
        <v>283</v>
      </c>
      <c r="C2841" s="280"/>
      <c r="D2841" s="280"/>
      <c r="E2841" s="280"/>
      <c r="F2841" s="282"/>
      <c r="G2841" s="282"/>
      <c r="H2841" s="282"/>
      <c r="I2841" s="416">
        <f>I2839</f>
        <v>162.97</v>
      </c>
      <c r="J2841" s="287" t="s">
        <v>4</v>
      </c>
      <c r="K2841" s="42"/>
      <c r="L2841" s="42"/>
      <c r="M2841" s="42"/>
    </row>
    <row r="2842" spans="1:30" s="73" customFormat="1" ht="23.25" customHeight="1">
      <c r="A2842" s="278"/>
      <c r="B2842" s="279" t="s">
        <v>477</v>
      </c>
      <c r="C2842" s="280">
        <v>1</v>
      </c>
      <c r="D2842" s="280">
        <v>1</v>
      </c>
      <c r="E2842" s="280">
        <v>2</v>
      </c>
      <c r="F2842" s="282">
        <v>10.84</v>
      </c>
      <c r="G2842" s="282"/>
      <c r="H2842" s="282">
        <v>4.3499999999999996</v>
      </c>
      <c r="I2842" s="283">
        <f t="shared" ref="I2842:I2851" si="133">PRODUCT(C2842:H2842)</f>
        <v>94.31</v>
      </c>
      <c r="J2842" s="284"/>
      <c r="K2842" s="43"/>
      <c r="L2842" s="43"/>
      <c r="M2842" s="43"/>
      <c r="N2842" s="74">
        <f>2.85+1.5</f>
        <v>4.3499999999999996</v>
      </c>
      <c r="O2842" s="74"/>
      <c r="P2842" s="74"/>
      <c r="Q2842" s="74"/>
      <c r="R2842" s="74"/>
      <c r="S2842" s="74"/>
      <c r="T2842" s="74"/>
      <c r="U2842" s="74"/>
      <c r="V2842" s="74"/>
      <c r="W2842" s="74"/>
      <c r="X2842" s="74"/>
      <c r="Y2842" s="74"/>
      <c r="Z2842" s="74"/>
      <c r="AA2842" s="74"/>
      <c r="AB2842" s="74"/>
      <c r="AC2842" s="74"/>
      <c r="AD2842" s="74"/>
    </row>
    <row r="2843" spans="1:30" s="73" customFormat="1" ht="23.25" customHeight="1">
      <c r="A2843" s="278"/>
      <c r="B2843" s="279" t="s">
        <v>476</v>
      </c>
      <c r="C2843" s="280">
        <v>1</v>
      </c>
      <c r="D2843" s="280">
        <v>1</v>
      </c>
      <c r="E2843" s="280">
        <v>2</v>
      </c>
      <c r="F2843" s="282">
        <v>9</v>
      </c>
      <c r="G2843" s="282"/>
      <c r="H2843" s="282">
        <v>4.3499999999999996</v>
      </c>
      <c r="I2843" s="283">
        <f t="shared" si="133"/>
        <v>78.3</v>
      </c>
      <c r="J2843" s="284"/>
      <c r="K2843" s="43"/>
      <c r="L2843" s="43"/>
      <c r="M2843" s="43"/>
      <c r="N2843" s="74">
        <f>1.9+2.6+1.9+2.6</f>
        <v>9</v>
      </c>
      <c r="O2843" s="74"/>
      <c r="P2843" s="74"/>
      <c r="Q2843" s="74"/>
      <c r="R2843" s="74"/>
      <c r="S2843" s="74"/>
      <c r="T2843" s="74"/>
      <c r="U2843" s="74"/>
      <c r="V2843" s="74"/>
      <c r="W2843" s="74"/>
      <c r="X2843" s="74"/>
      <c r="Y2843" s="74"/>
      <c r="Z2843" s="74"/>
      <c r="AA2843" s="74"/>
      <c r="AB2843" s="74"/>
      <c r="AC2843" s="74"/>
      <c r="AD2843" s="74"/>
    </row>
    <row r="2844" spans="1:30" s="73" customFormat="1" ht="23.25" customHeight="1">
      <c r="A2844" s="278"/>
      <c r="B2844" s="279" t="s">
        <v>475</v>
      </c>
      <c r="C2844" s="280">
        <v>1</v>
      </c>
      <c r="D2844" s="280">
        <v>1</v>
      </c>
      <c r="E2844" s="280">
        <v>1</v>
      </c>
      <c r="F2844" s="282">
        <v>12.44</v>
      </c>
      <c r="G2844" s="282"/>
      <c r="H2844" s="282">
        <v>4.3499999999999996</v>
      </c>
      <c r="I2844" s="283">
        <f t="shared" si="133"/>
        <v>54.11</v>
      </c>
      <c r="J2844" s="284"/>
      <c r="K2844" s="43"/>
      <c r="L2844" s="43"/>
      <c r="M2844" s="43"/>
      <c r="N2844" s="74"/>
      <c r="O2844" s="74"/>
      <c r="P2844" s="74"/>
      <c r="Q2844" s="74"/>
      <c r="R2844" s="74"/>
      <c r="S2844" s="74"/>
      <c r="T2844" s="74"/>
      <c r="U2844" s="74"/>
      <c r="V2844" s="74"/>
      <c r="W2844" s="74"/>
      <c r="X2844" s="74"/>
      <c r="Y2844" s="74"/>
      <c r="Z2844" s="74"/>
      <c r="AA2844" s="74"/>
      <c r="AB2844" s="74"/>
      <c r="AC2844" s="74"/>
      <c r="AD2844" s="74"/>
    </row>
    <row r="2845" spans="1:30" s="73" customFormat="1" ht="23.25" customHeight="1">
      <c r="A2845" s="278"/>
      <c r="B2845" s="279" t="s">
        <v>474</v>
      </c>
      <c r="C2845" s="280">
        <v>1</v>
      </c>
      <c r="D2845" s="280">
        <v>1</v>
      </c>
      <c r="E2845" s="280">
        <v>1</v>
      </c>
      <c r="F2845" s="282">
        <v>10.6</v>
      </c>
      <c r="G2845" s="282"/>
      <c r="H2845" s="282">
        <v>4.3499999999999996</v>
      </c>
      <c r="I2845" s="283">
        <f t="shared" si="133"/>
        <v>46.11</v>
      </c>
      <c r="J2845" s="284"/>
      <c r="K2845" s="43"/>
      <c r="L2845" s="43"/>
      <c r="M2845" s="43"/>
      <c r="N2845" s="74"/>
      <c r="O2845" s="74"/>
      <c r="P2845" s="74"/>
      <c r="Q2845" s="74"/>
      <c r="R2845" s="74"/>
      <c r="S2845" s="74"/>
      <c r="T2845" s="74"/>
      <c r="U2845" s="74"/>
      <c r="V2845" s="74"/>
      <c r="W2845" s="74"/>
      <c r="X2845" s="74"/>
      <c r="Y2845" s="74"/>
      <c r="Z2845" s="74"/>
      <c r="AA2845" s="74"/>
      <c r="AB2845" s="74"/>
      <c r="AC2845" s="74"/>
      <c r="AD2845" s="74"/>
    </row>
    <row r="2846" spans="1:30" s="73" customFormat="1" ht="23.25" customHeight="1">
      <c r="A2846" s="278"/>
      <c r="B2846" s="279" t="s">
        <v>117</v>
      </c>
      <c r="C2846" s="280">
        <v>-1</v>
      </c>
      <c r="D2846" s="280">
        <v>1</v>
      </c>
      <c r="E2846" s="280">
        <v>2</v>
      </c>
      <c r="F2846" s="282">
        <v>1</v>
      </c>
      <c r="G2846" s="282"/>
      <c r="H2846" s="282">
        <v>2.1</v>
      </c>
      <c r="I2846" s="283">
        <f t="shared" si="133"/>
        <v>-4.2</v>
      </c>
      <c r="J2846" s="284"/>
      <c r="K2846" s="43"/>
      <c r="L2846" s="43"/>
      <c r="M2846" s="43"/>
      <c r="N2846" s="74"/>
      <c r="O2846" s="74"/>
      <c r="P2846" s="74"/>
      <c r="Q2846" s="74"/>
      <c r="R2846" s="74"/>
      <c r="S2846" s="74"/>
      <c r="T2846" s="74"/>
      <c r="U2846" s="74"/>
      <c r="V2846" s="74"/>
      <c r="W2846" s="74"/>
      <c r="X2846" s="74"/>
      <c r="Y2846" s="74"/>
      <c r="Z2846" s="74"/>
      <c r="AA2846" s="74"/>
      <c r="AB2846" s="74"/>
      <c r="AC2846" s="74"/>
      <c r="AD2846" s="74"/>
    </row>
    <row r="2847" spans="1:30" s="73" customFormat="1" ht="23.25" customHeight="1">
      <c r="A2847" s="278"/>
      <c r="B2847" s="279" t="s">
        <v>473</v>
      </c>
      <c r="C2847" s="280">
        <v>-1</v>
      </c>
      <c r="D2847" s="280">
        <v>1</v>
      </c>
      <c r="E2847" s="280">
        <v>1</v>
      </c>
      <c r="F2847" s="282">
        <v>1.2</v>
      </c>
      <c r="G2847" s="282"/>
      <c r="H2847" s="282">
        <v>2.2999999999999998</v>
      </c>
      <c r="I2847" s="283">
        <f t="shared" si="133"/>
        <v>-2.76</v>
      </c>
      <c r="J2847" s="284"/>
      <c r="K2847" s="43"/>
      <c r="L2847" s="43"/>
      <c r="M2847" s="43"/>
      <c r="N2847" s="74"/>
      <c r="O2847" s="74"/>
      <c r="P2847" s="74"/>
      <c r="Q2847" s="74"/>
      <c r="R2847" s="74"/>
      <c r="S2847" s="74"/>
      <c r="T2847" s="74"/>
      <c r="U2847" s="74"/>
      <c r="V2847" s="74"/>
      <c r="W2847" s="74"/>
      <c r="X2847" s="74"/>
      <c r="Y2847" s="74"/>
      <c r="Z2847" s="74"/>
      <c r="AA2847" s="74"/>
      <c r="AB2847" s="74"/>
      <c r="AC2847" s="74"/>
      <c r="AD2847" s="74"/>
    </row>
    <row r="2848" spans="1:30" s="73" customFormat="1" ht="23.25" customHeight="1">
      <c r="A2848" s="278"/>
      <c r="B2848" s="279" t="s">
        <v>472</v>
      </c>
      <c r="C2848" s="280">
        <v>-1</v>
      </c>
      <c r="D2848" s="280">
        <v>1</v>
      </c>
      <c r="E2848" s="280">
        <v>3</v>
      </c>
      <c r="F2848" s="282">
        <v>0.6</v>
      </c>
      <c r="G2848" s="282"/>
      <c r="H2848" s="282">
        <v>0.6</v>
      </c>
      <c r="I2848" s="283">
        <f t="shared" si="133"/>
        <v>-1.08</v>
      </c>
      <c r="J2848" s="284"/>
      <c r="K2848" s="43"/>
      <c r="L2848" s="43"/>
      <c r="M2848" s="43"/>
      <c r="N2848" s="74"/>
      <c r="O2848" s="74"/>
      <c r="P2848" s="74"/>
      <c r="Q2848" s="74"/>
      <c r="R2848" s="74"/>
      <c r="S2848" s="74"/>
      <c r="T2848" s="74"/>
      <c r="U2848" s="74"/>
      <c r="V2848" s="74"/>
      <c r="W2848" s="74"/>
      <c r="X2848" s="74"/>
      <c r="Y2848" s="74"/>
      <c r="Z2848" s="74"/>
      <c r="AA2848" s="74"/>
      <c r="AB2848" s="74"/>
      <c r="AC2848" s="74"/>
      <c r="AD2848" s="74"/>
    </row>
    <row r="2849" spans="1:30" s="73" customFormat="1" ht="23.25" customHeight="1">
      <c r="A2849" s="278"/>
      <c r="B2849" s="279" t="s">
        <v>471</v>
      </c>
      <c r="C2849" s="280">
        <v>1</v>
      </c>
      <c r="D2849" s="280">
        <v>1</v>
      </c>
      <c r="E2849" s="280">
        <v>2</v>
      </c>
      <c r="F2849" s="282">
        <v>5.2</v>
      </c>
      <c r="G2849" s="282">
        <v>0.23</v>
      </c>
      <c r="H2849" s="282"/>
      <c r="I2849" s="283">
        <f t="shared" si="133"/>
        <v>2.39</v>
      </c>
      <c r="J2849" s="284"/>
      <c r="K2849" s="43"/>
      <c r="L2849" s="43"/>
      <c r="M2849" s="43"/>
      <c r="N2849" s="74">
        <f>1+2.1+2.1</f>
        <v>5.2</v>
      </c>
      <c r="O2849" s="74"/>
      <c r="P2849" s="74"/>
      <c r="Q2849" s="74"/>
      <c r="R2849" s="74"/>
      <c r="S2849" s="74"/>
      <c r="T2849" s="74"/>
      <c r="U2849" s="74"/>
      <c r="V2849" s="74"/>
      <c r="W2849" s="74"/>
      <c r="X2849" s="74"/>
      <c r="Y2849" s="74"/>
      <c r="Z2849" s="74"/>
      <c r="AA2849" s="74"/>
      <c r="AB2849" s="74"/>
      <c r="AC2849" s="74"/>
      <c r="AD2849" s="74"/>
    </row>
    <row r="2850" spans="1:30" s="73" customFormat="1" ht="23.25" customHeight="1">
      <c r="A2850" s="278"/>
      <c r="B2850" s="279" t="s">
        <v>470</v>
      </c>
      <c r="C2850" s="280">
        <v>1</v>
      </c>
      <c r="D2850" s="280">
        <v>1</v>
      </c>
      <c r="E2850" s="280">
        <v>1</v>
      </c>
      <c r="F2850" s="282">
        <v>5.8</v>
      </c>
      <c r="G2850" s="282">
        <v>0.23</v>
      </c>
      <c r="H2850" s="282"/>
      <c r="I2850" s="283">
        <f t="shared" si="133"/>
        <v>1.33</v>
      </c>
      <c r="J2850" s="284"/>
      <c r="K2850" s="43"/>
      <c r="L2850" s="43"/>
      <c r="M2850" s="43"/>
      <c r="N2850" s="74">
        <f>1.2+2.3+2.3</f>
        <v>5.8</v>
      </c>
      <c r="O2850" s="74"/>
      <c r="P2850" s="74"/>
      <c r="Q2850" s="74"/>
      <c r="R2850" s="74"/>
      <c r="S2850" s="74"/>
      <c r="T2850" s="74"/>
      <c r="U2850" s="74"/>
      <c r="V2850" s="74"/>
      <c r="W2850" s="74"/>
      <c r="X2850" s="74"/>
      <c r="Y2850" s="74"/>
      <c r="Z2850" s="74"/>
      <c r="AA2850" s="74"/>
      <c r="AB2850" s="74"/>
      <c r="AC2850" s="74"/>
      <c r="AD2850" s="74"/>
    </row>
    <row r="2851" spans="1:30" s="73" customFormat="1" ht="23.25" customHeight="1">
      <c r="A2851" s="278"/>
      <c r="B2851" s="279" t="s">
        <v>469</v>
      </c>
      <c r="C2851" s="280">
        <v>1</v>
      </c>
      <c r="D2851" s="280">
        <v>1</v>
      </c>
      <c r="E2851" s="280">
        <v>3</v>
      </c>
      <c r="F2851" s="282">
        <f>0.6*4</f>
        <v>2.4</v>
      </c>
      <c r="G2851" s="282">
        <v>0.23</v>
      </c>
      <c r="H2851" s="282"/>
      <c r="I2851" s="283">
        <f t="shared" si="133"/>
        <v>1.66</v>
      </c>
      <c r="J2851" s="284"/>
      <c r="K2851" s="43"/>
      <c r="L2851" s="43"/>
      <c r="M2851" s="43"/>
      <c r="N2851" s="74"/>
      <c r="O2851" s="74"/>
      <c r="P2851" s="74"/>
      <c r="Q2851" s="74"/>
      <c r="R2851" s="74"/>
      <c r="S2851" s="74"/>
      <c r="T2851" s="74"/>
      <c r="U2851" s="74"/>
      <c r="V2851" s="74"/>
      <c r="W2851" s="74"/>
      <c r="X2851" s="74"/>
      <c r="Y2851" s="74"/>
      <c r="Z2851" s="74"/>
      <c r="AA2851" s="74"/>
      <c r="AB2851" s="74"/>
      <c r="AC2851" s="74"/>
      <c r="AD2851" s="74"/>
    </row>
    <row r="2852" spans="1:30" s="107" customFormat="1" ht="24" customHeight="1">
      <c r="A2852" s="305"/>
      <c r="B2852" s="306" t="s">
        <v>468</v>
      </c>
      <c r="C2852" s="306"/>
      <c r="D2852" s="307"/>
      <c r="E2852" s="302"/>
      <c r="F2852" s="302"/>
      <c r="G2852" s="302"/>
      <c r="H2852" s="308"/>
      <c r="I2852" s="283"/>
      <c r="J2852" s="305"/>
    </row>
    <row r="2853" spans="1:30" s="107" customFormat="1" ht="24" customHeight="1">
      <c r="A2853" s="305"/>
      <c r="B2853" s="302" t="s">
        <v>467</v>
      </c>
      <c r="C2853" s="307">
        <v>1</v>
      </c>
      <c r="D2853" s="307">
        <v>1</v>
      </c>
      <c r="E2853" s="307">
        <v>1</v>
      </c>
      <c r="F2853" s="317">
        <v>294.20999999999998</v>
      </c>
      <c r="G2853" s="302"/>
      <c r="H2853" s="308">
        <v>1.5</v>
      </c>
      <c r="I2853" s="283">
        <f>PRODUCT(C2853:H2853)</f>
        <v>441.32</v>
      </c>
      <c r="J2853" s="305"/>
    </row>
    <row r="2854" spans="1:30" s="64" customFormat="1" ht="23.25" customHeight="1">
      <c r="A2854" s="289"/>
      <c r="B2854" s="296" t="s">
        <v>466</v>
      </c>
      <c r="C2854" s="294"/>
      <c r="D2854" s="294"/>
      <c r="E2854" s="294"/>
      <c r="F2854" s="300"/>
      <c r="G2854" s="464"/>
      <c r="H2854" s="464"/>
      <c r="I2854" s="283"/>
      <c r="J2854" s="322"/>
      <c r="K2854" s="65"/>
      <c r="L2854" s="65"/>
      <c r="M2854" s="65"/>
      <c r="N2854" s="65"/>
      <c r="O2854" s="65"/>
      <c r="P2854" s="65"/>
      <c r="Q2854" s="65"/>
      <c r="R2854" s="65"/>
      <c r="S2854" s="65"/>
      <c r="T2854" s="65"/>
      <c r="U2854" s="65"/>
      <c r="V2854" s="65"/>
      <c r="W2854" s="65"/>
      <c r="X2854" s="65"/>
      <c r="Y2854" s="65"/>
      <c r="Z2854" s="65"/>
      <c r="AA2854" s="65"/>
      <c r="AB2854" s="65"/>
      <c r="AC2854" s="65"/>
      <c r="AD2854" s="65"/>
    </row>
    <row r="2855" spans="1:30" s="64" customFormat="1" ht="21.75" customHeight="1">
      <c r="A2855" s="294"/>
      <c r="B2855" s="293" t="s">
        <v>465</v>
      </c>
      <c r="C2855" s="294">
        <v>5</v>
      </c>
      <c r="D2855" s="294">
        <v>1</v>
      </c>
      <c r="E2855" s="294">
        <v>1</v>
      </c>
      <c r="F2855" s="295">
        <v>32.42</v>
      </c>
      <c r="G2855" s="300"/>
      <c r="H2855" s="295">
        <v>0.95</v>
      </c>
      <c r="I2855" s="298">
        <f>PRODUCT(C2855:H2855)</f>
        <v>154</v>
      </c>
      <c r="J2855" s="322"/>
      <c r="K2855" s="65"/>
      <c r="L2855" s="65"/>
      <c r="M2855" s="65"/>
      <c r="N2855" s="65">
        <f>13.62-0.46</f>
        <v>13.16</v>
      </c>
      <c r="O2855" s="65">
        <f>2.59-0.46</f>
        <v>2.13</v>
      </c>
      <c r="P2855" s="65">
        <f>N2855+O2855</f>
        <v>15.29</v>
      </c>
      <c r="Q2855" s="65">
        <f>P2855*2</f>
        <v>30.58</v>
      </c>
      <c r="R2855" s="65"/>
      <c r="S2855" s="65"/>
      <c r="T2855" s="65"/>
      <c r="U2855" s="65"/>
      <c r="V2855" s="65"/>
      <c r="W2855" s="65"/>
      <c r="X2855" s="65"/>
      <c r="Y2855" s="65"/>
      <c r="Z2855" s="65"/>
      <c r="AA2855" s="65"/>
      <c r="AB2855" s="65"/>
      <c r="AC2855" s="65"/>
      <c r="AD2855" s="65"/>
    </row>
    <row r="2856" spans="1:30" s="64" customFormat="1" ht="21.75" customHeight="1">
      <c r="A2856" s="294"/>
      <c r="B2856" s="293" t="s">
        <v>464</v>
      </c>
      <c r="C2856" s="294">
        <v>5</v>
      </c>
      <c r="D2856" s="294">
        <v>1</v>
      </c>
      <c r="E2856" s="294">
        <v>1</v>
      </c>
      <c r="F2856" s="295">
        <v>30.58</v>
      </c>
      <c r="G2856" s="300"/>
      <c r="H2856" s="295">
        <v>0.95</v>
      </c>
      <c r="I2856" s="298">
        <f>PRODUCT(C2856:H2856)</f>
        <v>145.26</v>
      </c>
      <c r="J2856" s="322"/>
      <c r="K2856" s="65"/>
      <c r="L2856" s="65"/>
      <c r="M2856" s="65"/>
      <c r="N2856" s="65"/>
      <c r="O2856" s="65"/>
      <c r="P2856" s="65"/>
      <c r="Q2856" s="65"/>
      <c r="R2856" s="65"/>
      <c r="S2856" s="65"/>
      <c r="T2856" s="65"/>
      <c r="U2856" s="65"/>
      <c r="V2856" s="65"/>
      <c r="W2856" s="65"/>
      <c r="X2856" s="65"/>
      <c r="Y2856" s="65"/>
      <c r="Z2856" s="65"/>
      <c r="AA2856" s="65"/>
      <c r="AB2856" s="65"/>
      <c r="AC2856" s="65"/>
      <c r="AD2856" s="65"/>
    </row>
    <row r="2857" spans="1:30" s="64" customFormat="1" ht="21.75" customHeight="1">
      <c r="A2857" s="294"/>
      <c r="B2857" s="293" t="s">
        <v>463</v>
      </c>
      <c r="C2857" s="294">
        <v>5</v>
      </c>
      <c r="D2857" s="294">
        <v>1</v>
      </c>
      <c r="E2857" s="294">
        <v>2</v>
      </c>
      <c r="F2857" s="300">
        <v>2.13</v>
      </c>
      <c r="G2857" s="295"/>
      <c r="H2857" s="295">
        <v>0.95</v>
      </c>
      <c r="I2857" s="298">
        <f>PRODUCT(C2857:H2857)</f>
        <v>20.239999999999998</v>
      </c>
      <c r="J2857" s="322"/>
      <c r="K2857" s="65"/>
      <c r="L2857" s="65"/>
      <c r="M2857" s="65"/>
      <c r="N2857" s="65"/>
      <c r="O2857" s="65"/>
      <c r="P2857" s="65"/>
      <c r="Q2857" s="65"/>
      <c r="R2857" s="65"/>
      <c r="S2857" s="65"/>
      <c r="T2857" s="65"/>
      <c r="U2857" s="65"/>
      <c r="V2857" s="65"/>
      <c r="W2857" s="65"/>
      <c r="X2857" s="65"/>
      <c r="Y2857" s="65"/>
      <c r="Z2857" s="65"/>
      <c r="AA2857" s="65"/>
      <c r="AB2857" s="65"/>
      <c r="AC2857" s="65"/>
      <c r="AD2857" s="65"/>
    </row>
    <row r="2858" spans="1:30" s="64" customFormat="1" ht="21.75" customHeight="1">
      <c r="A2858" s="294"/>
      <c r="B2858" s="293" t="s">
        <v>462</v>
      </c>
      <c r="C2858" s="294">
        <v>-5</v>
      </c>
      <c r="D2858" s="294">
        <v>2</v>
      </c>
      <c r="E2858" s="294">
        <v>1</v>
      </c>
      <c r="F2858" s="295">
        <v>0.23</v>
      </c>
      <c r="G2858" s="298"/>
      <c r="H2858" s="295">
        <v>0.95</v>
      </c>
      <c r="I2858" s="298">
        <f>PRODUCT(C2858:H2858)</f>
        <v>-2.19</v>
      </c>
      <c r="J2858" s="322"/>
      <c r="K2858" s="65"/>
      <c r="L2858" s="65"/>
      <c r="M2858" s="65"/>
      <c r="N2858" s="65"/>
      <c r="O2858" s="65"/>
      <c r="P2858" s="65"/>
      <c r="Q2858" s="65"/>
      <c r="R2858" s="65"/>
      <c r="S2858" s="65"/>
      <c r="T2858" s="65"/>
      <c r="U2858" s="65"/>
      <c r="V2858" s="65"/>
      <c r="W2858" s="65"/>
      <c r="X2858" s="65"/>
      <c r="Y2858" s="65"/>
      <c r="Z2858" s="65"/>
      <c r="AA2858" s="65"/>
      <c r="AB2858" s="65"/>
      <c r="AC2858" s="65"/>
      <c r="AD2858" s="65"/>
    </row>
    <row r="2859" spans="1:30" s="64" customFormat="1" ht="21.75" customHeight="1">
      <c r="A2859" s="294"/>
      <c r="B2859" s="293"/>
      <c r="C2859" s="294"/>
      <c r="D2859" s="294"/>
      <c r="E2859" s="294"/>
      <c r="F2859" s="300"/>
      <c r="G2859" s="599" t="s">
        <v>60</v>
      </c>
      <c r="H2859" s="600"/>
      <c r="I2859" s="291">
        <f>SUM(I2841:I2858)</f>
        <v>1191.77</v>
      </c>
      <c r="J2859" s="343" t="s">
        <v>4</v>
      </c>
      <c r="K2859" s="44"/>
      <c r="L2859" s="44"/>
      <c r="M2859" s="44"/>
      <c r="N2859" s="65"/>
      <c r="O2859" s="65"/>
      <c r="P2859" s="65"/>
      <c r="Q2859" s="65"/>
      <c r="R2859" s="65"/>
      <c r="S2859" s="65"/>
      <c r="T2859" s="65"/>
      <c r="U2859" s="65"/>
      <c r="V2859" s="65"/>
      <c r="W2859" s="65"/>
      <c r="X2859" s="65"/>
      <c r="Y2859" s="65"/>
      <c r="Z2859" s="65"/>
      <c r="AA2859" s="65"/>
      <c r="AB2859" s="65"/>
      <c r="AC2859" s="65"/>
      <c r="AD2859" s="65"/>
    </row>
    <row r="2860" spans="1:30" s="2" customFormat="1" ht="23.25" customHeight="1">
      <c r="A2860" s="278"/>
      <c r="B2860" s="286" t="s">
        <v>478</v>
      </c>
      <c r="C2860" s="280"/>
      <c r="D2860" s="280"/>
      <c r="E2860" s="280"/>
      <c r="F2860" s="282"/>
      <c r="G2860" s="282"/>
      <c r="H2860" s="282"/>
      <c r="I2860" s="283"/>
      <c r="J2860" s="284"/>
      <c r="K2860" s="43"/>
      <c r="L2860" s="43"/>
      <c r="M2860" s="43"/>
      <c r="N2860" s="9"/>
      <c r="O2860" s="9"/>
      <c r="P2860" s="9"/>
      <c r="Q2860" s="9"/>
      <c r="R2860" s="9"/>
      <c r="S2860" s="9"/>
      <c r="T2860" s="9"/>
      <c r="U2860" s="9"/>
      <c r="V2860" s="9"/>
      <c r="W2860" s="9"/>
      <c r="X2860" s="9"/>
      <c r="Y2860" s="9"/>
      <c r="Z2860" s="9"/>
      <c r="AA2860" s="9"/>
      <c r="AB2860" s="9"/>
      <c r="AC2860" s="9"/>
      <c r="AD2860" s="9"/>
    </row>
    <row r="2861" spans="1:30" s="67" customFormat="1" ht="27.75" customHeight="1">
      <c r="A2861" s="289"/>
      <c r="B2861" s="290" t="s">
        <v>461</v>
      </c>
      <c r="C2861" s="294"/>
      <c r="D2861" s="294"/>
      <c r="E2861" s="295"/>
      <c r="F2861" s="295"/>
      <c r="G2861" s="295"/>
      <c r="H2861" s="303"/>
      <c r="I2861" s="314"/>
      <c r="J2861" s="303"/>
      <c r="K2861" s="79"/>
      <c r="L2861" s="79"/>
      <c r="M2861" s="79"/>
    </row>
    <row r="2862" spans="1:30" s="67" customFormat="1" ht="27.75" customHeight="1">
      <c r="A2862" s="294"/>
      <c r="B2862" s="297" t="s">
        <v>460</v>
      </c>
      <c r="C2862" s="294">
        <v>1</v>
      </c>
      <c r="D2862" s="294">
        <v>1</v>
      </c>
      <c r="E2862" s="294">
        <v>1</v>
      </c>
      <c r="F2862" s="295">
        <v>12.8</v>
      </c>
      <c r="G2862" s="295"/>
      <c r="H2862" s="295">
        <v>1.2</v>
      </c>
      <c r="I2862" s="298">
        <f>PRODUCT(C2862:H2862)</f>
        <v>15.36</v>
      </c>
      <c r="J2862" s="303"/>
      <c r="K2862" s="79"/>
      <c r="L2862" s="79"/>
      <c r="M2862" s="79"/>
      <c r="N2862" s="67">
        <f>5.55-1</f>
        <v>4.55</v>
      </c>
      <c r="O2862" s="67">
        <f>2.85-1</f>
        <v>1.85</v>
      </c>
      <c r="P2862" s="67">
        <f>N2862+O2862</f>
        <v>6.4</v>
      </c>
      <c r="Q2862" s="67">
        <f>P2862*2</f>
        <v>12.8</v>
      </c>
    </row>
    <row r="2863" spans="1:30" s="67" customFormat="1" ht="27.75" customHeight="1">
      <c r="A2863" s="294"/>
      <c r="B2863" s="297" t="s">
        <v>459</v>
      </c>
      <c r="C2863" s="294">
        <v>1</v>
      </c>
      <c r="D2863" s="294">
        <v>1</v>
      </c>
      <c r="E2863" s="294">
        <v>1</v>
      </c>
      <c r="F2863" s="295">
        <v>10.96</v>
      </c>
      <c r="G2863" s="295"/>
      <c r="H2863" s="295">
        <v>1.2</v>
      </c>
      <c r="I2863" s="298">
        <f>PRODUCT(C2863:H2863)</f>
        <v>13.15</v>
      </c>
      <c r="J2863" s="303"/>
      <c r="K2863" s="79"/>
      <c r="L2863" s="79"/>
      <c r="M2863" s="79"/>
      <c r="N2863" s="67">
        <f>N2862-0.46</f>
        <v>4.09</v>
      </c>
      <c r="O2863" s="67">
        <f>1.85-0.46</f>
        <v>1.39</v>
      </c>
      <c r="P2863" s="67">
        <f>N2863+O2863</f>
        <v>5.48</v>
      </c>
      <c r="Q2863" s="67">
        <f>P2863*2</f>
        <v>10.96</v>
      </c>
    </row>
    <row r="2864" spans="1:30" s="91" customFormat="1" ht="23.25" customHeight="1">
      <c r="A2864" s="278"/>
      <c r="B2864" s="286"/>
      <c r="C2864" s="280"/>
      <c r="D2864" s="280"/>
      <c r="E2864" s="280"/>
      <c r="F2864" s="463"/>
      <c r="G2864" s="597" t="s">
        <v>60</v>
      </c>
      <c r="H2864" s="598"/>
      <c r="I2864" s="416">
        <f>SUM(I2862:I2863)</f>
        <v>28.51</v>
      </c>
      <c r="J2864" s="343" t="s">
        <v>4</v>
      </c>
      <c r="K2864" s="44"/>
      <c r="L2864" s="44"/>
      <c r="M2864" s="44"/>
      <c r="O2864" s="91">
        <f>4.09*1.39*1.2</f>
        <v>6.82212</v>
      </c>
      <c r="P2864" s="91">
        <f>O2864*1000</f>
        <v>6822.12</v>
      </c>
    </row>
    <row r="2865" spans="1:15" s="91" customFormat="1" ht="23.25" customHeight="1">
      <c r="A2865" s="278"/>
      <c r="B2865" s="279"/>
      <c r="C2865" s="280"/>
      <c r="D2865" s="280"/>
      <c r="E2865" s="280"/>
      <c r="F2865" s="282"/>
      <c r="G2865" s="282"/>
      <c r="H2865" s="282"/>
      <c r="I2865" s="416">
        <f>I2864+I2859+I2841+I2839+I2837+I2835+I2833+I2831+I2829+I2827+I2825+I2823+I2821+I2811</f>
        <v>3138.39</v>
      </c>
      <c r="J2865" s="343" t="s">
        <v>4</v>
      </c>
      <c r="K2865" s="44"/>
      <c r="L2865" s="44"/>
      <c r="M2865" s="44"/>
    </row>
    <row r="2866" spans="1:15" s="91" customFormat="1" ht="23.25" customHeight="1">
      <c r="A2866" s="278"/>
      <c r="B2866" s="279"/>
      <c r="C2866" s="280"/>
      <c r="D2866" s="280"/>
      <c r="E2866" s="280"/>
      <c r="F2866" s="282"/>
      <c r="G2866" s="282"/>
      <c r="H2866" s="415" t="s">
        <v>55</v>
      </c>
      <c r="I2866" s="416">
        <f>ROUNDUP(I2865,0)</f>
        <v>3139</v>
      </c>
      <c r="J2866" s="343" t="s">
        <v>4</v>
      </c>
      <c r="K2866" s="44"/>
      <c r="L2866" s="44"/>
      <c r="M2866" s="44"/>
    </row>
    <row r="2867" spans="1:15" s="91" customFormat="1" ht="57.75" customHeight="1">
      <c r="A2867" s="278"/>
      <c r="B2867" s="279" t="s">
        <v>62</v>
      </c>
      <c r="C2867" s="280"/>
      <c r="D2867" s="280"/>
      <c r="E2867" s="280"/>
      <c r="F2867" s="282"/>
      <c r="G2867" s="282"/>
      <c r="H2867" s="415"/>
      <c r="I2867" s="416"/>
      <c r="J2867" s="343"/>
      <c r="K2867" s="44"/>
      <c r="L2867" s="44"/>
      <c r="M2867" s="44"/>
    </row>
    <row r="2868" spans="1:15" s="91" customFormat="1" ht="23.25" customHeight="1">
      <c r="A2868" s="278"/>
      <c r="B2868" s="279" t="s">
        <v>10</v>
      </c>
      <c r="C2868" s="280"/>
      <c r="D2868" s="280"/>
      <c r="E2868" s="280"/>
      <c r="F2868" s="282"/>
      <c r="G2868" s="282"/>
      <c r="H2868" s="415"/>
      <c r="I2868" s="416"/>
      <c r="J2868" s="343"/>
      <c r="K2868" s="44"/>
      <c r="L2868" s="44"/>
      <c r="M2868" s="44"/>
    </row>
    <row r="2869" spans="1:15" s="91" customFormat="1" ht="23.25" customHeight="1">
      <c r="A2869" s="278"/>
      <c r="B2869" s="279" t="s">
        <v>1583</v>
      </c>
      <c r="C2869" s="294">
        <v>1</v>
      </c>
      <c r="D2869" s="294">
        <v>1</v>
      </c>
      <c r="E2869" s="294">
        <v>2</v>
      </c>
      <c r="F2869" s="295">
        <v>100</v>
      </c>
      <c r="G2869" s="295"/>
      <c r="H2869" s="295"/>
      <c r="I2869" s="298">
        <f>PRODUCT(C2869:H2869)</f>
        <v>200</v>
      </c>
      <c r="J2869" s="343"/>
      <c r="K2869" s="44"/>
      <c r="L2869" s="44"/>
      <c r="M2869" s="44"/>
    </row>
    <row r="2870" spans="1:15" s="91" customFormat="1" ht="23.25" customHeight="1">
      <c r="A2870" s="278"/>
      <c r="B2870" s="279" t="s">
        <v>1582</v>
      </c>
      <c r="C2870" s="280">
        <v>1</v>
      </c>
      <c r="D2870" s="280">
        <v>1</v>
      </c>
      <c r="E2870" s="280">
        <v>2</v>
      </c>
      <c r="F2870" s="282">
        <v>1</v>
      </c>
      <c r="G2870" s="282"/>
      <c r="H2870" s="415"/>
      <c r="I2870" s="298">
        <f>PRODUCT(C2870:H2870)</f>
        <v>2</v>
      </c>
      <c r="J2870" s="343"/>
      <c r="K2870" s="44"/>
      <c r="L2870" s="44"/>
      <c r="M2870" s="44"/>
    </row>
    <row r="2871" spans="1:15" s="91" customFormat="1" ht="23.25" customHeight="1">
      <c r="A2871" s="278"/>
      <c r="B2871" s="279"/>
      <c r="C2871" s="280"/>
      <c r="D2871" s="280"/>
      <c r="E2871" s="280"/>
      <c r="F2871" s="282"/>
      <c r="G2871" s="282"/>
      <c r="H2871" s="415"/>
      <c r="I2871" s="416">
        <f>SUM(I2869:I2870)</f>
        <v>202</v>
      </c>
      <c r="J2871" s="343"/>
      <c r="K2871" s="44"/>
      <c r="L2871" s="44"/>
      <c r="M2871" s="44"/>
    </row>
    <row r="2872" spans="1:15" s="91" customFormat="1" ht="23.25" customHeight="1">
      <c r="A2872" s="278"/>
      <c r="B2872" s="279" t="s">
        <v>51</v>
      </c>
      <c r="C2872" s="280"/>
      <c r="D2872" s="280"/>
      <c r="E2872" s="280"/>
      <c r="F2872" s="282"/>
      <c r="G2872" s="282"/>
      <c r="H2872" s="415"/>
      <c r="I2872" s="416"/>
      <c r="J2872" s="343"/>
      <c r="K2872" s="44"/>
      <c r="L2872" s="44"/>
      <c r="M2872" s="44"/>
    </row>
    <row r="2873" spans="1:15" s="91" customFormat="1" ht="23.25" customHeight="1">
      <c r="A2873" s="278"/>
      <c r="B2873" s="279" t="s">
        <v>1158</v>
      </c>
      <c r="C2873" s="294">
        <v>1</v>
      </c>
      <c r="D2873" s="294">
        <v>1</v>
      </c>
      <c r="E2873" s="294">
        <v>1</v>
      </c>
      <c r="F2873" s="295">
        <v>100</v>
      </c>
      <c r="G2873" s="295"/>
      <c r="H2873" s="295"/>
      <c r="I2873" s="298">
        <f>PRODUCT(C2873:H2873)</f>
        <v>100</v>
      </c>
      <c r="J2873" s="343"/>
      <c r="K2873" s="44"/>
      <c r="L2873" s="44"/>
      <c r="M2873" s="44"/>
    </row>
    <row r="2874" spans="1:15" s="91" customFormat="1" ht="23.25" customHeight="1">
      <c r="A2874" s="278"/>
      <c r="B2874" s="279"/>
      <c r="C2874" s="280"/>
      <c r="D2874" s="280"/>
      <c r="E2874" s="280"/>
      <c r="F2874" s="282"/>
      <c r="G2874" s="282"/>
      <c r="H2874" s="415"/>
      <c r="I2874" s="416"/>
      <c r="J2874" s="343"/>
      <c r="K2874" s="44"/>
      <c r="L2874" s="44"/>
      <c r="M2874" s="44"/>
    </row>
    <row r="2875" spans="1:15" s="91" customFormat="1" ht="23.25" customHeight="1">
      <c r="A2875" s="278"/>
      <c r="B2875" s="279"/>
      <c r="C2875" s="280"/>
      <c r="D2875" s="280"/>
      <c r="E2875" s="280"/>
      <c r="F2875" s="282"/>
      <c r="G2875" s="282"/>
      <c r="H2875" s="415"/>
      <c r="I2875" s="416"/>
      <c r="J2875" s="343"/>
      <c r="K2875" s="44"/>
      <c r="L2875" s="44"/>
      <c r="M2875" s="44"/>
    </row>
    <row r="2876" spans="1:15" s="91" customFormat="1" ht="42.75" customHeight="1">
      <c r="A2876" s="340">
        <v>22.18</v>
      </c>
      <c r="B2876" s="533" t="s">
        <v>458</v>
      </c>
      <c r="C2876" s="491"/>
      <c r="D2876" s="280"/>
      <c r="E2876" s="491"/>
      <c r="F2876" s="337"/>
      <c r="G2876" s="337"/>
      <c r="H2876" s="337"/>
      <c r="I2876" s="347"/>
      <c r="J2876" s="278"/>
      <c r="K2876" s="46"/>
      <c r="L2876" s="46"/>
      <c r="M2876" s="46"/>
    </row>
    <row r="2877" spans="1:15" s="91" customFormat="1" ht="23.25" customHeight="1">
      <c r="A2877" s="340"/>
      <c r="B2877" s="492" t="s">
        <v>100</v>
      </c>
      <c r="C2877" s="493">
        <v>100</v>
      </c>
      <c r="D2877" s="280">
        <v>1</v>
      </c>
      <c r="E2877" s="493">
        <v>1</v>
      </c>
      <c r="F2877" s="338">
        <v>0.9</v>
      </c>
      <c r="G2877" s="338"/>
      <c r="H2877" s="507">
        <v>2.0249999999999999</v>
      </c>
      <c r="I2877" s="347">
        <f>PRODUCT(C2877:H2877)</f>
        <v>182.25</v>
      </c>
      <c r="J2877" s="278"/>
      <c r="K2877" s="46"/>
      <c r="L2877" s="46"/>
      <c r="M2877" s="46"/>
      <c r="N2877" s="106">
        <f>2.1-H2877</f>
        <v>7.4999999999999997E-2</v>
      </c>
      <c r="O2877" s="91">
        <f>N2877/3</f>
        <v>2.5000000000000001E-2</v>
      </c>
    </row>
    <row r="2878" spans="1:15" s="91" customFormat="1" ht="16.5">
      <c r="A2878" s="340"/>
      <c r="B2878" s="534"/>
      <c r="C2878" s="493"/>
      <c r="D2878" s="280"/>
      <c r="E2878" s="493"/>
      <c r="F2878" s="338"/>
      <c r="G2878" s="338"/>
      <c r="H2878" s="404" t="s">
        <v>55</v>
      </c>
      <c r="I2878" s="416">
        <f>ROUNDUP(I2877,1)</f>
        <v>182.3</v>
      </c>
      <c r="J2878" s="343" t="s">
        <v>4</v>
      </c>
      <c r="K2878" s="44"/>
      <c r="L2878" s="44"/>
      <c r="M2878" s="44"/>
    </row>
    <row r="2879" spans="1:15" s="354" customFormat="1" ht="31.5" hidden="1">
      <c r="A2879" s="340" t="s">
        <v>457</v>
      </c>
      <c r="B2879" s="533" t="s">
        <v>35</v>
      </c>
      <c r="C2879" s="493"/>
      <c r="D2879" s="280"/>
      <c r="E2879" s="493"/>
      <c r="F2879" s="338"/>
      <c r="G2879" s="338"/>
      <c r="H2879" s="338"/>
      <c r="I2879" s="347"/>
      <c r="J2879" s="278"/>
      <c r="K2879" s="355"/>
      <c r="L2879" s="355"/>
      <c r="M2879" s="355"/>
    </row>
    <row r="2880" spans="1:15" s="354" customFormat="1" ht="16.5" hidden="1">
      <c r="A2880" s="340"/>
      <c r="B2880" s="492" t="s">
        <v>978</v>
      </c>
      <c r="C2880" s="493">
        <v>100</v>
      </c>
      <c r="D2880" s="280">
        <v>1</v>
      </c>
      <c r="E2880" s="493">
        <v>2</v>
      </c>
      <c r="F2880" s="338">
        <v>1.1499999999999999</v>
      </c>
      <c r="G2880" s="338"/>
      <c r="H2880" s="338">
        <v>2.15</v>
      </c>
      <c r="I2880" s="347">
        <f>PRODUCT(C2880:H2880)</f>
        <v>494.5</v>
      </c>
      <c r="J2880" s="278"/>
      <c r="K2880" s="355"/>
      <c r="L2880" s="355"/>
      <c r="M2880" s="355"/>
    </row>
    <row r="2881" spans="1:30" s="354" customFormat="1" ht="16.5" hidden="1">
      <c r="A2881" s="340"/>
      <c r="B2881" s="490"/>
      <c r="C2881" s="493"/>
      <c r="D2881" s="280"/>
      <c r="E2881" s="493"/>
      <c r="F2881" s="338"/>
      <c r="G2881" s="338"/>
      <c r="H2881" s="404" t="s">
        <v>55</v>
      </c>
      <c r="I2881" s="416">
        <f>ROUNDUP(I2880,0)</f>
        <v>495</v>
      </c>
      <c r="J2881" s="343" t="s">
        <v>4</v>
      </c>
      <c r="K2881" s="161"/>
      <c r="L2881" s="161"/>
      <c r="M2881" s="161"/>
    </row>
    <row r="2882" spans="1:30" s="91" customFormat="1" ht="31.5">
      <c r="A2882" s="340" t="s">
        <v>457</v>
      </c>
      <c r="B2882" s="533" t="s">
        <v>456</v>
      </c>
      <c r="C2882" s="491"/>
      <c r="D2882" s="280"/>
      <c r="E2882" s="491"/>
      <c r="F2882" s="337"/>
      <c r="G2882" s="337"/>
      <c r="H2882" s="337"/>
      <c r="I2882" s="347"/>
      <c r="J2882" s="278"/>
      <c r="K2882" s="46"/>
      <c r="L2882" s="46"/>
      <c r="M2882" s="46"/>
    </row>
    <row r="2883" spans="1:30" s="91" customFormat="1" ht="23.25" customHeight="1">
      <c r="A2883" s="340"/>
      <c r="B2883" s="492" t="s">
        <v>1256</v>
      </c>
      <c r="C2883" s="493">
        <v>100</v>
      </c>
      <c r="D2883" s="280">
        <v>1</v>
      </c>
      <c r="E2883" s="493">
        <v>2</v>
      </c>
      <c r="F2883" s="338">
        <v>0.8</v>
      </c>
      <c r="G2883" s="338"/>
      <c r="H2883" s="338">
        <v>2.0499999999999998</v>
      </c>
      <c r="I2883" s="347">
        <f>PRODUCT(C2883:H2883)</f>
        <v>328</v>
      </c>
      <c r="J2883" s="278"/>
      <c r="K2883" s="46"/>
      <c r="L2883" s="46"/>
      <c r="M2883" s="46"/>
    </row>
    <row r="2884" spans="1:30" s="91" customFormat="1" ht="23.25" customHeight="1">
      <c r="A2884" s="340"/>
      <c r="B2884" s="534"/>
      <c r="C2884" s="493"/>
      <c r="D2884" s="280"/>
      <c r="E2884" s="493"/>
      <c r="F2884" s="338"/>
      <c r="G2884" s="338"/>
      <c r="H2884" s="338"/>
      <c r="I2884" s="339">
        <f>SUM(I2883:I2883)</f>
        <v>328</v>
      </c>
      <c r="J2884" s="278"/>
      <c r="K2884" s="46"/>
      <c r="L2884" s="46"/>
      <c r="M2884" s="46"/>
    </row>
    <row r="2885" spans="1:30" s="91" customFormat="1" ht="23.25" customHeight="1">
      <c r="A2885" s="340"/>
      <c r="B2885" s="534"/>
      <c r="C2885" s="493"/>
      <c r="D2885" s="280"/>
      <c r="E2885" s="493"/>
      <c r="F2885" s="338"/>
      <c r="G2885" s="338"/>
      <c r="H2885" s="338" t="s">
        <v>55</v>
      </c>
      <c r="I2885" s="416">
        <f>ROUNDUP(I2884,0)</f>
        <v>328</v>
      </c>
      <c r="J2885" s="343" t="s">
        <v>4</v>
      </c>
      <c r="K2885" s="44"/>
      <c r="L2885" s="44"/>
      <c r="M2885" s="44"/>
    </row>
    <row r="2886" spans="1:30" s="91" customFormat="1" ht="53.25" customHeight="1">
      <c r="A2886" s="340"/>
      <c r="B2886" s="535" t="s">
        <v>58</v>
      </c>
      <c r="C2886" s="493"/>
      <c r="D2886" s="280"/>
      <c r="E2886" s="493"/>
      <c r="F2886" s="338"/>
      <c r="G2886" s="338"/>
      <c r="H2886" s="338"/>
      <c r="I2886" s="416"/>
      <c r="J2886" s="343"/>
      <c r="K2886" s="44"/>
      <c r="L2886" s="44"/>
      <c r="M2886" s="44"/>
    </row>
    <row r="2887" spans="1:30" s="91" customFormat="1" ht="23.25" customHeight="1">
      <c r="A2887" s="340"/>
      <c r="B2887" s="492" t="s">
        <v>1257</v>
      </c>
      <c r="C2887" s="493">
        <v>100</v>
      </c>
      <c r="D2887" s="280">
        <v>1</v>
      </c>
      <c r="E2887" s="493">
        <v>1</v>
      </c>
      <c r="F2887" s="338">
        <v>0.65</v>
      </c>
      <c r="G2887" s="338"/>
      <c r="H2887" s="338">
        <v>2.0499999999999998</v>
      </c>
      <c r="I2887" s="347">
        <f>PRODUCT(C2887:H2887)</f>
        <v>133.25</v>
      </c>
      <c r="J2887" s="278"/>
      <c r="K2887" s="46"/>
      <c r="L2887" s="46"/>
      <c r="M2887" s="46"/>
      <c r="N2887" s="91">
        <f>0.75-0.08</f>
        <v>0.67</v>
      </c>
    </row>
    <row r="2888" spans="1:30" s="91" customFormat="1" ht="23.25" customHeight="1">
      <c r="A2888" s="340"/>
      <c r="B2888" s="534"/>
      <c r="C2888" s="493"/>
      <c r="D2888" s="280"/>
      <c r="E2888" s="493"/>
      <c r="F2888" s="338"/>
      <c r="G2888" s="338"/>
      <c r="H2888" s="338" t="s">
        <v>55</v>
      </c>
      <c r="I2888" s="416">
        <f>ROUNDUP(I2887,1)</f>
        <v>133.30000000000001</v>
      </c>
      <c r="J2888" s="343" t="s">
        <v>4</v>
      </c>
      <c r="K2888" s="44"/>
      <c r="L2888" s="44"/>
      <c r="M2888" s="44"/>
    </row>
    <row r="2889" spans="1:30" s="91" customFormat="1" ht="63" customHeight="1">
      <c r="A2889" s="340"/>
      <c r="B2889" s="535" t="s">
        <v>1581</v>
      </c>
      <c r="C2889" s="493"/>
      <c r="D2889" s="280"/>
      <c r="E2889" s="493"/>
      <c r="F2889" s="338"/>
      <c r="G2889" s="338"/>
      <c r="H2889" s="338"/>
      <c r="I2889" s="416"/>
      <c r="J2889" s="343"/>
      <c r="K2889" s="44"/>
      <c r="L2889" s="44"/>
      <c r="M2889" s="44"/>
    </row>
    <row r="2890" spans="1:30" s="91" customFormat="1" ht="23.25" customHeight="1">
      <c r="A2890" s="340"/>
      <c r="B2890" s="492" t="s">
        <v>1582</v>
      </c>
      <c r="C2890" s="493">
        <v>2</v>
      </c>
      <c r="D2890" s="280">
        <v>1</v>
      </c>
      <c r="E2890" s="493">
        <v>1</v>
      </c>
      <c r="F2890" s="338">
        <v>0.8</v>
      </c>
      <c r="G2890" s="338"/>
      <c r="H2890" s="338">
        <v>2.0499999999999998</v>
      </c>
      <c r="I2890" s="347">
        <f>PRODUCT(C2890:H2890)</f>
        <v>3.28</v>
      </c>
      <c r="J2890" s="278"/>
      <c r="K2890" s="44"/>
      <c r="L2890" s="44"/>
      <c r="M2890" s="44"/>
    </row>
    <row r="2891" spans="1:30" s="91" customFormat="1" ht="23.25" customHeight="1">
      <c r="A2891" s="340"/>
      <c r="B2891" s="534"/>
      <c r="C2891" s="493"/>
      <c r="D2891" s="280"/>
      <c r="E2891" s="493"/>
      <c r="F2891" s="338"/>
      <c r="G2891" s="338"/>
      <c r="H2891" s="338" t="s">
        <v>55</v>
      </c>
      <c r="I2891" s="416">
        <f>ROUNDUP(I2890,1)</f>
        <v>3.3</v>
      </c>
      <c r="J2891" s="343" t="s">
        <v>4</v>
      </c>
      <c r="K2891" s="44"/>
      <c r="L2891" s="44"/>
      <c r="M2891" s="44"/>
    </row>
    <row r="2892" spans="1:30" s="91" customFormat="1" ht="23.25" customHeight="1">
      <c r="A2892" s="340"/>
      <c r="B2892" s="534"/>
      <c r="C2892" s="493"/>
      <c r="D2892" s="280"/>
      <c r="E2892" s="493"/>
      <c r="F2892" s="338"/>
      <c r="G2892" s="338"/>
      <c r="H2892" s="338"/>
      <c r="I2892" s="416"/>
      <c r="J2892" s="343"/>
      <c r="K2892" s="44"/>
      <c r="L2892" s="44"/>
      <c r="M2892" s="44"/>
    </row>
    <row r="2893" spans="1:30" s="91" customFormat="1" ht="23.25" customHeight="1">
      <c r="A2893" s="340"/>
      <c r="B2893" s="534"/>
      <c r="C2893" s="493"/>
      <c r="D2893" s="280"/>
      <c r="E2893" s="493"/>
      <c r="F2893" s="338"/>
      <c r="G2893" s="338"/>
      <c r="H2893" s="338"/>
      <c r="I2893" s="416"/>
      <c r="J2893" s="343"/>
      <c r="K2893" s="44"/>
      <c r="L2893" s="44"/>
      <c r="M2893" s="44"/>
    </row>
    <row r="2894" spans="1:30" s="45" customFormat="1" ht="33.75" customHeight="1">
      <c r="A2894" s="278" t="s">
        <v>455</v>
      </c>
      <c r="B2894" s="279" t="s">
        <v>454</v>
      </c>
      <c r="C2894" s="280"/>
      <c r="D2894" s="280"/>
      <c r="E2894" s="280"/>
      <c r="F2894" s="282"/>
      <c r="G2894" s="282"/>
      <c r="H2894" s="415"/>
      <c r="I2894" s="416"/>
      <c r="J2894" s="278"/>
      <c r="K2894" s="46"/>
      <c r="L2894" s="46"/>
      <c r="M2894" s="46"/>
    </row>
    <row r="2895" spans="1:30" s="45" customFormat="1" ht="23.25" customHeight="1">
      <c r="A2895" s="278"/>
      <c r="B2895" s="286" t="s">
        <v>453</v>
      </c>
      <c r="C2895" s="280"/>
      <c r="D2895" s="280"/>
      <c r="E2895" s="280"/>
      <c r="F2895" s="282"/>
      <c r="G2895" s="282"/>
      <c r="H2895" s="415"/>
      <c r="I2895" s="416"/>
      <c r="J2895" s="278"/>
      <c r="K2895" s="46"/>
      <c r="L2895" s="46"/>
      <c r="M2895" s="46"/>
    </row>
    <row r="2896" spans="1:30" s="66" customFormat="1" ht="21.75" customHeight="1">
      <c r="A2896" s="307"/>
      <c r="B2896" s="293" t="s">
        <v>452</v>
      </c>
      <c r="C2896" s="307">
        <v>1</v>
      </c>
      <c r="D2896" s="307">
        <v>1</v>
      </c>
      <c r="E2896" s="307">
        <v>10</v>
      </c>
      <c r="F2896" s="317">
        <v>3.85</v>
      </c>
      <c r="G2896" s="317"/>
      <c r="H2896" s="317">
        <v>0.6</v>
      </c>
      <c r="I2896" s="347">
        <f>PRODUCT(C2896:H2896)</f>
        <v>23.1</v>
      </c>
      <c r="J2896" s="308"/>
      <c r="K2896" s="105"/>
      <c r="L2896" s="105"/>
      <c r="M2896" s="105"/>
      <c r="N2896" s="67">
        <f>2.8+2.4</f>
        <v>5.2</v>
      </c>
      <c r="O2896" s="67"/>
      <c r="P2896" s="67"/>
      <c r="Q2896" s="67"/>
      <c r="R2896" s="67"/>
      <c r="S2896" s="67"/>
      <c r="T2896" s="67"/>
      <c r="U2896" s="67"/>
      <c r="V2896" s="67"/>
      <c r="W2896" s="67"/>
      <c r="X2896" s="67"/>
      <c r="Y2896" s="67"/>
      <c r="Z2896" s="67"/>
      <c r="AA2896" s="67"/>
      <c r="AB2896" s="67"/>
      <c r="AC2896" s="67"/>
      <c r="AD2896" s="67"/>
    </row>
    <row r="2897" spans="1:30" s="66" customFormat="1" ht="21.75" customHeight="1">
      <c r="A2897" s="307"/>
      <c r="B2897" s="293" t="s">
        <v>451</v>
      </c>
      <c r="C2897" s="307">
        <v>1</v>
      </c>
      <c r="D2897" s="307">
        <v>1</v>
      </c>
      <c r="E2897" s="307">
        <v>10</v>
      </c>
      <c r="F2897" s="317">
        <v>3.85</v>
      </c>
      <c r="G2897" s="317"/>
      <c r="H2897" s="317">
        <v>0.1</v>
      </c>
      <c r="I2897" s="347">
        <f>PRODUCT(C2897:H2897)</f>
        <v>3.85</v>
      </c>
      <c r="J2897" s="308"/>
      <c r="K2897" s="105"/>
      <c r="L2897" s="105"/>
      <c r="M2897" s="105"/>
      <c r="N2897" s="67">
        <f>2.4-0.6</f>
        <v>1.8</v>
      </c>
      <c r="O2897" s="67"/>
      <c r="P2897" s="67"/>
      <c r="Q2897" s="67"/>
      <c r="R2897" s="67"/>
      <c r="S2897" s="67"/>
      <c r="T2897" s="67"/>
      <c r="U2897" s="67"/>
      <c r="V2897" s="67"/>
      <c r="W2897" s="67"/>
      <c r="X2897" s="67"/>
      <c r="Y2897" s="67"/>
      <c r="Z2897" s="67"/>
      <c r="AA2897" s="67"/>
      <c r="AB2897" s="67"/>
      <c r="AC2897" s="67"/>
      <c r="AD2897" s="67"/>
    </row>
    <row r="2898" spans="1:30" s="66" customFormat="1" ht="21.75" customHeight="1">
      <c r="A2898" s="307"/>
      <c r="B2898" s="293" t="s">
        <v>450</v>
      </c>
      <c r="C2898" s="307">
        <v>-1</v>
      </c>
      <c r="D2898" s="307">
        <v>1</v>
      </c>
      <c r="E2898" s="307">
        <v>10</v>
      </c>
      <c r="F2898" s="308">
        <v>0.6</v>
      </c>
      <c r="G2898" s="308"/>
      <c r="H2898" s="308">
        <v>0.6</v>
      </c>
      <c r="I2898" s="347">
        <f>PRODUCT(C2898:H2898)</f>
        <v>-3.6</v>
      </c>
      <c r="J2898" s="308"/>
      <c r="K2898" s="105"/>
      <c r="L2898" s="105"/>
      <c r="M2898" s="105"/>
      <c r="N2898" s="67"/>
      <c r="O2898" s="67"/>
      <c r="P2898" s="67"/>
      <c r="Q2898" s="67"/>
      <c r="R2898" s="67"/>
      <c r="S2898" s="67"/>
      <c r="T2898" s="67"/>
      <c r="U2898" s="67"/>
      <c r="V2898" s="67"/>
      <c r="W2898" s="67"/>
      <c r="X2898" s="67"/>
      <c r="Y2898" s="67"/>
      <c r="Z2898" s="67"/>
      <c r="AA2898" s="67"/>
      <c r="AB2898" s="67"/>
      <c r="AC2898" s="67"/>
      <c r="AD2898" s="67"/>
    </row>
    <row r="2899" spans="1:30" s="45" customFormat="1" ht="23.25" customHeight="1">
      <c r="A2899" s="278"/>
      <c r="B2899" s="279"/>
      <c r="C2899" s="280"/>
      <c r="D2899" s="280"/>
      <c r="E2899" s="280"/>
      <c r="F2899" s="282"/>
      <c r="G2899" s="282"/>
      <c r="H2899" s="415"/>
      <c r="I2899" s="416">
        <f>SUM(I2896:I2898)</f>
        <v>23.35</v>
      </c>
      <c r="J2899" s="278"/>
      <c r="K2899" s="46"/>
      <c r="L2899" s="46"/>
      <c r="M2899" s="46"/>
    </row>
    <row r="2900" spans="1:30" s="45" customFormat="1" ht="23.25" customHeight="1">
      <c r="A2900" s="278"/>
      <c r="B2900" s="279"/>
      <c r="C2900" s="280"/>
      <c r="D2900" s="280"/>
      <c r="E2900" s="280"/>
      <c r="F2900" s="282"/>
      <c r="G2900" s="282"/>
      <c r="H2900" s="415" t="s">
        <v>55</v>
      </c>
      <c r="I2900" s="416">
        <f>ROUNDUP(I2899,1)</f>
        <v>23.4</v>
      </c>
      <c r="J2900" s="343" t="s">
        <v>4</v>
      </c>
      <c r="K2900" s="44"/>
      <c r="L2900" s="44"/>
      <c r="M2900" s="44"/>
    </row>
    <row r="2901" spans="1:30" s="45" customFormat="1" ht="23.25" customHeight="1">
      <c r="A2901" s="278"/>
      <c r="B2901" s="286" t="s">
        <v>296</v>
      </c>
      <c r="C2901" s="280"/>
      <c r="D2901" s="280"/>
      <c r="E2901" s="280"/>
      <c r="F2901" s="282"/>
      <c r="G2901" s="282"/>
      <c r="H2901" s="415"/>
      <c r="I2901" s="416"/>
      <c r="J2901" s="278"/>
      <c r="K2901" s="46"/>
      <c r="L2901" s="46"/>
      <c r="M2901" s="46"/>
    </row>
    <row r="2902" spans="1:30" s="45" customFormat="1" ht="23.25" customHeight="1">
      <c r="A2902" s="278"/>
      <c r="B2902" s="286" t="s">
        <v>283</v>
      </c>
      <c r="C2902" s="280"/>
      <c r="D2902" s="280"/>
      <c r="E2902" s="280"/>
      <c r="F2902" s="282"/>
      <c r="G2902" s="282"/>
      <c r="H2902" s="415"/>
      <c r="I2902" s="339">
        <f>I2900</f>
        <v>23.4</v>
      </c>
      <c r="J2902" s="287" t="s">
        <v>4</v>
      </c>
      <c r="K2902" s="42"/>
      <c r="L2902" s="42"/>
      <c r="M2902" s="42"/>
    </row>
    <row r="2903" spans="1:30" s="45" customFormat="1" ht="23.25" customHeight="1">
      <c r="A2903" s="278"/>
      <c r="B2903" s="286" t="s">
        <v>295</v>
      </c>
      <c r="C2903" s="280"/>
      <c r="D2903" s="280"/>
      <c r="E2903" s="280"/>
      <c r="F2903" s="282"/>
      <c r="G2903" s="282"/>
      <c r="H2903" s="415"/>
      <c r="I2903" s="416"/>
      <c r="J2903" s="278"/>
      <c r="K2903" s="46"/>
      <c r="L2903" s="46"/>
      <c r="M2903" s="46"/>
    </row>
    <row r="2904" spans="1:30" s="45" customFormat="1" ht="23.25" customHeight="1">
      <c r="A2904" s="278"/>
      <c r="B2904" s="286" t="s">
        <v>283</v>
      </c>
      <c r="C2904" s="280"/>
      <c r="D2904" s="280"/>
      <c r="E2904" s="280"/>
      <c r="F2904" s="282"/>
      <c r="G2904" s="282"/>
      <c r="H2904" s="415"/>
      <c r="I2904" s="339">
        <f>I2902</f>
        <v>23.4</v>
      </c>
      <c r="J2904" s="287" t="s">
        <v>4</v>
      </c>
      <c r="K2904" s="42"/>
      <c r="L2904" s="42"/>
      <c r="M2904" s="42"/>
    </row>
    <row r="2905" spans="1:30" s="45" customFormat="1" ht="23.25" customHeight="1">
      <c r="A2905" s="278"/>
      <c r="B2905" s="286" t="s">
        <v>294</v>
      </c>
      <c r="C2905" s="280"/>
      <c r="D2905" s="280"/>
      <c r="E2905" s="280"/>
      <c r="F2905" s="282"/>
      <c r="G2905" s="282"/>
      <c r="H2905" s="415"/>
      <c r="I2905" s="416"/>
      <c r="J2905" s="278"/>
      <c r="K2905" s="46"/>
      <c r="L2905" s="46"/>
      <c r="M2905" s="46"/>
    </row>
    <row r="2906" spans="1:30" s="45" customFormat="1" ht="23.25" customHeight="1">
      <c r="A2906" s="278"/>
      <c r="B2906" s="286" t="s">
        <v>283</v>
      </c>
      <c r="C2906" s="280"/>
      <c r="D2906" s="280"/>
      <c r="E2906" s="280"/>
      <c r="F2906" s="282"/>
      <c r="G2906" s="282"/>
      <c r="H2906" s="415"/>
      <c r="I2906" s="339">
        <f>I2904</f>
        <v>23.4</v>
      </c>
      <c r="J2906" s="287" t="s">
        <v>4</v>
      </c>
      <c r="K2906" s="42"/>
      <c r="L2906" s="42"/>
      <c r="M2906" s="42"/>
    </row>
    <row r="2907" spans="1:30" s="45" customFormat="1" ht="23.25" customHeight="1">
      <c r="A2907" s="278"/>
      <c r="B2907" s="286" t="s">
        <v>293</v>
      </c>
      <c r="C2907" s="280"/>
      <c r="D2907" s="280"/>
      <c r="E2907" s="280"/>
      <c r="F2907" s="282"/>
      <c r="G2907" s="282"/>
      <c r="H2907" s="415"/>
      <c r="I2907" s="416"/>
      <c r="J2907" s="278"/>
      <c r="K2907" s="46"/>
      <c r="L2907" s="46"/>
      <c r="M2907" s="46"/>
    </row>
    <row r="2908" spans="1:30" s="45" customFormat="1" ht="23.25" customHeight="1">
      <c r="A2908" s="278"/>
      <c r="B2908" s="286" t="s">
        <v>283</v>
      </c>
      <c r="C2908" s="280"/>
      <c r="D2908" s="280"/>
      <c r="E2908" s="280"/>
      <c r="F2908" s="282"/>
      <c r="G2908" s="282"/>
      <c r="H2908" s="415"/>
      <c r="I2908" s="339">
        <f>I2906</f>
        <v>23.4</v>
      </c>
      <c r="J2908" s="287" t="s">
        <v>4</v>
      </c>
      <c r="K2908" s="42"/>
      <c r="L2908" s="42"/>
      <c r="M2908" s="42"/>
    </row>
    <row r="2909" spans="1:30" s="45" customFormat="1" ht="23.25" customHeight="1">
      <c r="A2909" s="278"/>
      <c r="B2909" s="286" t="s">
        <v>292</v>
      </c>
      <c r="C2909" s="280"/>
      <c r="D2909" s="280"/>
      <c r="E2909" s="280"/>
      <c r="F2909" s="282"/>
      <c r="G2909" s="282"/>
      <c r="H2909" s="415"/>
      <c r="I2909" s="416"/>
      <c r="J2909" s="278"/>
      <c r="K2909" s="46"/>
      <c r="L2909" s="46"/>
      <c r="M2909" s="46"/>
    </row>
    <row r="2910" spans="1:30" s="45" customFormat="1" ht="23.25" customHeight="1">
      <c r="A2910" s="278"/>
      <c r="B2910" s="286" t="s">
        <v>283</v>
      </c>
      <c r="C2910" s="280"/>
      <c r="D2910" s="280"/>
      <c r="E2910" s="280"/>
      <c r="F2910" s="282"/>
      <c r="G2910" s="282"/>
      <c r="H2910" s="415"/>
      <c r="I2910" s="416">
        <f>I2908</f>
        <v>23.4</v>
      </c>
      <c r="J2910" s="287" t="s">
        <v>4</v>
      </c>
      <c r="K2910" s="42"/>
      <c r="L2910" s="42"/>
      <c r="M2910" s="42"/>
    </row>
    <row r="2911" spans="1:30" s="45" customFormat="1" ht="23.25" customHeight="1">
      <c r="A2911" s="278"/>
      <c r="B2911" s="286" t="s">
        <v>291</v>
      </c>
      <c r="C2911" s="280"/>
      <c r="D2911" s="280"/>
      <c r="E2911" s="280"/>
      <c r="F2911" s="282"/>
      <c r="G2911" s="282"/>
      <c r="H2911" s="415"/>
      <c r="I2911" s="416"/>
      <c r="J2911" s="278"/>
      <c r="K2911" s="46"/>
      <c r="L2911" s="46"/>
      <c r="M2911" s="46"/>
    </row>
    <row r="2912" spans="1:30" s="45" customFormat="1" ht="23.25" customHeight="1">
      <c r="A2912" s="278"/>
      <c r="B2912" s="286" t="s">
        <v>283</v>
      </c>
      <c r="C2912" s="280"/>
      <c r="D2912" s="280"/>
      <c r="E2912" s="280"/>
      <c r="F2912" s="282"/>
      <c r="G2912" s="282"/>
      <c r="H2912" s="415"/>
      <c r="I2912" s="416">
        <f>I2910</f>
        <v>23.4</v>
      </c>
      <c r="J2912" s="287" t="s">
        <v>4</v>
      </c>
      <c r="K2912" s="42"/>
      <c r="L2912" s="42"/>
      <c r="M2912" s="42"/>
    </row>
    <row r="2913" spans="1:13" s="45" customFormat="1" ht="23.25" customHeight="1">
      <c r="A2913" s="278"/>
      <c r="B2913" s="286" t="s">
        <v>290</v>
      </c>
      <c r="C2913" s="280"/>
      <c r="D2913" s="280"/>
      <c r="E2913" s="280"/>
      <c r="F2913" s="282"/>
      <c r="G2913" s="282"/>
      <c r="H2913" s="415"/>
      <c r="I2913" s="416"/>
      <c r="J2913" s="278"/>
      <c r="K2913" s="46"/>
      <c r="L2913" s="46"/>
      <c r="M2913" s="46"/>
    </row>
    <row r="2914" spans="1:13" s="45" customFormat="1" ht="23.25" customHeight="1">
      <c r="A2914" s="278"/>
      <c r="B2914" s="286" t="s">
        <v>283</v>
      </c>
      <c r="C2914" s="280"/>
      <c r="D2914" s="280"/>
      <c r="E2914" s="280"/>
      <c r="F2914" s="282"/>
      <c r="G2914" s="282"/>
      <c r="H2914" s="415"/>
      <c r="I2914" s="416">
        <f>I2912</f>
        <v>23.4</v>
      </c>
      <c r="J2914" s="287" t="s">
        <v>4</v>
      </c>
      <c r="K2914" s="42"/>
      <c r="L2914" s="42"/>
      <c r="M2914" s="42"/>
    </row>
    <row r="2915" spans="1:13" s="45" customFormat="1" ht="23.25" customHeight="1">
      <c r="A2915" s="278"/>
      <c r="B2915" s="286" t="s">
        <v>289</v>
      </c>
      <c r="C2915" s="280"/>
      <c r="D2915" s="280"/>
      <c r="E2915" s="280"/>
      <c r="F2915" s="282"/>
      <c r="G2915" s="282"/>
      <c r="H2915" s="415"/>
      <c r="I2915" s="416"/>
      <c r="J2915" s="278"/>
      <c r="K2915" s="46"/>
      <c r="L2915" s="46"/>
      <c r="M2915" s="46"/>
    </row>
    <row r="2916" spans="1:13" s="45" customFormat="1" ht="23.25" customHeight="1">
      <c r="A2916" s="278"/>
      <c r="B2916" s="286" t="s">
        <v>283</v>
      </c>
      <c r="C2916" s="280"/>
      <c r="D2916" s="280"/>
      <c r="E2916" s="280"/>
      <c r="F2916" s="282"/>
      <c r="G2916" s="282"/>
      <c r="H2916" s="415"/>
      <c r="I2916" s="416">
        <f>I2914</f>
        <v>23.4</v>
      </c>
      <c r="J2916" s="287" t="s">
        <v>4</v>
      </c>
      <c r="K2916" s="42"/>
      <c r="L2916" s="42"/>
      <c r="M2916" s="42"/>
    </row>
    <row r="2917" spans="1:13" s="45" customFormat="1" ht="23.25" customHeight="1">
      <c r="A2917" s="278"/>
      <c r="B2917" s="286" t="s">
        <v>288</v>
      </c>
      <c r="C2917" s="280"/>
      <c r="D2917" s="280"/>
      <c r="E2917" s="280"/>
      <c r="F2917" s="282"/>
      <c r="G2917" s="282"/>
      <c r="H2917" s="415"/>
      <c r="I2917" s="416"/>
      <c r="J2917" s="278"/>
      <c r="K2917" s="46"/>
      <c r="L2917" s="46"/>
      <c r="M2917" s="46"/>
    </row>
    <row r="2918" spans="1:13" s="45" customFormat="1" ht="23.25" customHeight="1">
      <c r="A2918" s="278"/>
      <c r="B2918" s="286" t="s">
        <v>283</v>
      </c>
      <c r="C2918" s="280"/>
      <c r="D2918" s="280"/>
      <c r="E2918" s="280"/>
      <c r="F2918" s="282"/>
      <c r="G2918" s="282"/>
      <c r="H2918" s="415"/>
      <c r="I2918" s="416">
        <f>I2916</f>
        <v>23.4</v>
      </c>
      <c r="J2918" s="287" t="s">
        <v>4</v>
      </c>
      <c r="K2918" s="42"/>
      <c r="L2918" s="42"/>
      <c r="M2918" s="42"/>
    </row>
    <row r="2919" spans="1:13" s="58" customFormat="1" ht="23.25" customHeight="1">
      <c r="A2919" s="473"/>
      <c r="B2919" s="485"/>
      <c r="C2919" s="475"/>
      <c r="D2919" s="475"/>
      <c r="E2919" s="475"/>
      <c r="F2919" s="476"/>
      <c r="G2919" s="476"/>
      <c r="H2919" s="486"/>
      <c r="I2919" s="487"/>
      <c r="J2919" s="473"/>
      <c r="K2919" s="104"/>
      <c r="L2919" s="104"/>
      <c r="M2919" s="104"/>
    </row>
    <row r="2920" spans="1:13" s="45" customFormat="1" ht="36" customHeight="1">
      <c r="A2920" s="536">
        <v>29.8</v>
      </c>
      <c r="B2920" s="490" t="s">
        <v>449</v>
      </c>
      <c r="C2920" s="493"/>
      <c r="D2920" s="280"/>
      <c r="E2920" s="493"/>
      <c r="F2920" s="338"/>
      <c r="G2920" s="338"/>
      <c r="H2920" s="338"/>
      <c r="I2920" s="347"/>
      <c r="J2920" s="278"/>
      <c r="K2920" s="46"/>
      <c r="L2920" s="46"/>
      <c r="M2920" s="46"/>
    </row>
    <row r="2921" spans="1:13" s="367" customFormat="1" ht="22.5" customHeight="1">
      <c r="A2921" s="395"/>
      <c r="B2921" s="396" t="s">
        <v>216</v>
      </c>
      <c r="C2921" s="397"/>
      <c r="D2921" s="397"/>
      <c r="E2921" s="397"/>
      <c r="F2921" s="410"/>
      <c r="G2921" s="410"/>
      <c r="H2921" s="410"/>
      <c r="I2921" s="399"/>
      <c r="J2921" s="396"/>
    </row>
    <row r="2922" spans="1:13" s="367" customFormat="1" ht="22.5" customHeight="1">
      <c r="A2922" s="395"/>
      <c r="B2922" s="401" t="s">
        <v>71</v>
      </c>
      <c r="C2922" s="397">
        <v>1</v>
      </c>
      <c r="D2922" s="397">
        <v>1</v>
      </c>
      <c r="E2922" s="397">
        <v>2</v>
      </c>
      <c r="F2922" s="398">
        <v>5.63</v>
      </c>
      <c r="G2922" s="398" t="s">
        <v>26</v>
      </c>
      <c r="H2922" s="398">
        <v>1.5</v>
      </c>
      <c r="I2922" s="399">
        <f>PRODUCT(C2922:H2922)</f>
        <v>16.89</v>
      </c>
      <c r="J2922" s="396"/>
    </row>
    <row r="2923" spans="1:13" s="367" customFormat="1" ht="22.5" customHeight="1">
      <c r="A2923" s="395"/>
      <c r="B2923" s="401" t="s">
        <v>1568</v>
      </c>
      <c r="C2923" s="397">
        <v>1</v>
      </c>
      <c r="D2923" s="397">
        <v>1</v>
      </c>
      <c r="E2923" s="397">
        <v>1</v>
      </c>
      <c r="F2923" s="398">
        <v>3.645</v>
      </c>
      <c r="G2923" s="398" t="s">
        <v>26</v>
      </c>
      <c r="H2923" s="398">
        <v>1.5</v>
      </c>
      <c r="I2923" s="399">
        <f>PRODUCT(C2923:H2923)</f>
        <v>5.47</v>
      </c>
      <c r="J2923" s="396"/>
    </row>
    <row r="2924" spans="1:13" s="367" customFormat="1" ht="22.5" customHeight="1">
      <c r="A2924" s="395"/>
      <c r="B2924" s="396" t="s">
        <v>1566</v>
      </c>
      <c r="C2924" s="397"/>
      <c r="D2924" s="397"/>
      <c r="E2924" s="397"/>
      <c r="F2924" s="398"/>
      <c r="G2924" s="398"/>
      <c r="H2924" s="398"/>
      <c r="I2924" s="399"/>
      <c r="J2924" s="396"/>
    </row>
    <row r="2925" spans="1:13" s="367" customFormat="1" ht="22.5" customHeight="1">
      <c r="A2925" s="395"/>
      <c r="B2925" s="401" t="s">
        <v>1518</v>
      </c>
      <c r="C2925" s="397">
        <v>1</v>
      </c>
      <c r="D2925" s="397">
        <v>2</v>
      </c>
      <c r="E2925" s="397">
        <v>2</v>
      </c>
      <c r="F2925" s="398" t="s">
        <v>26</v>
      </c>
      <c r="G2925" s="398">
        <v>6.5000000000000002E-2</v>
      </c>
      <c r="H2925" s="398">
        <v>1.5</v>
      </c>
      <c r="I2925" s="399">
        <f>PRODUCT(C2925:H2925)</f>
        <v>0.39</v>
      </c>
      <c r="J2925" s="396"/>
    </row>
    <row r="2926" spans="1:13" s="367" customFormat="1" ht="22.5" customHeight="1">
      <c r="A2926" s="395"/>
      <c r="B2926" s="396" t="s">
        <v>944</v>
      </c>
      <c r="C2926" s="397"/>
      <c r="D2926" s="397"/>
      <c r="E2926" s="397"/>
      <c r="F2926" s="398"/>
      <c r="G2926" s="398"/>
      <c r="H2926" s="398"/>
      <c r="I2926" s="399"/>
      <c r="J2926" s="396"/>
    </row>
    <row r="2927" spans="1:13" s="367" customFormat="1" ht="22.5" customHeight="1">
      <c r="A2927" s="395"/>
      <c r="B2927" s="401" t="s">
        <v>1518</v>
      </c>
      <c r="C2927" s="397">
        <v>-1</v>
      </c>
      <c r="D2927" s="397">
        <v>2</v>
      </c>
      <c r="E2927" s="397">
        <v>2</v>
      </c>
      <c r="F2927" s="398">
        <v>0.75</v>
      </c>
      <c r="G2927" s="398" t="s">
        <v>26</v>
      </c>
      <c r="H2927" s="398">
        <v>1.5</v>
      </c>
      <c r="I2927" s="399">
        <f>PRODUCT(C2927:H2927)</f>
        <v>-4.5</v>
      </c>
      <c r="J2927" s="396"/>
    </row>
    <row r="2928" spans="1:13" s="367" customFormat="1" ht="22.5" customHeight="1">
      <c r="A2928" s="395"/>
      <c r="B2928" s="396" t="s">
        <v>1336</v>
      </c>
      <c r="C2928" s="397"/>
      <c r="D2928" s="397"/>
      <c r="E2928" s="397"/>
      <c r="F2928" s="398"/>
      <c r="G2928" s="398"/>
      <c r="H2928" s="398"/>
      <c r="I2928" s="399"/>
      <c r="J2928" s="396"/>
    </row>
    <row r="2929" spans="1:13" s="367" customFormat="1" ht="22.5" customHeight="1">
      <c r="A2929" s="395"/>
      <c r="B2929" s="401" t="s">
        <v>1567</v>
      </c>
      <c r="C2929" s="397">
        <v>1</v>
      </c>
      <c r="D2929" s="397">
        <v>1</v>
      </c>
      <c r="E2929" s="397">
        <v>100</v>
      </c>
      <c r="F2929" s="398">
        <v>6.6</v>
      </c>
      <c r="G2929" s="398" t="s">
        <v>26</v>
      </c>
      <c r="H2929" s="398">
        <v>1.5</v>
      </c>
      <c r="I2929" s="399">
        <f>PRODUCT(C2929:H2929)</f>
        <v>990</v>
      </c>
      <c r="J2929" s="396"/>
    </row>
    <row r="2930" spans="1:13" s="367" customFormat="1" ht="22.5" customHeight="1">
      <c r="A2930" s="395"/>
      <c r="B2930" s="401" t="s">
        <v>958</v>
      </c>
      <c r="C2930" s="397">
        <v>1</v>
      </c>
      <c r="D2930" s="397">
        <v>1</v>
      </c>
      <c r="E2930" s="397">
        <v>100</v>
      </c>
      <c r="F2930" s="398">
        <v>6.97</v>
      </c>
      <c r="G2930" s="398" t="s">
        <v>26</v>
      </c>
      <c r="H2930" s="398">
        <v>1.5</v>
      </c>
      <c r="I2930" s="399">
        <f>PRODUCT(C2930:H2930)</f>
        <v>1045.5</v>
      </c>
      <c r="J2930" s="396"/>
    </row>
    <row r="2931" spans="1:13" s="367" customFormat="1" ht="22.5" customHeight="1">
      <c r="A2931" s="395"/>
      <c r="B2931" s="401" t="s">
        <v>88</v>
      </c>
      <c r="C2931" s="397">
        <v>1</v>
      </c>
      <c r="D2931" s="397">
        <v>1</v>
      </c>
      <c r="E2931" s="397">
        <v>100</v>
      </c>
      <c r="F2931" s="398">
        <v>3.85</v>
      </c>
      <c r="G2931" s="398" t="s">
        <v>26</v>
      </c>
      <c r="H2931" s="398">
        <v>0.6</v>
      </c>
      <c r="I2931" s="399"/>
      <c r="J2931" s="396"/>
    </row>
    <row r="2932" spans="1:13" s="367" customFormat="1" ht="22.5" customHeight="1">
      <c r="A2932" s="395"/>
      <c r="B2932" s="396" t="s">
        <v>1566</v>
      </c>
      <c r="C2932" s="397"/>
      <c r="D2932" s="397"/>
      <c r="E2932" s="397"/>
      <c r="F2932" s="410"/>
      <c r="G2932" s="410"/>
      <c r="H2932" s="410"/>
      <c r="I2932" s="399"/>
      <c r="J2932" s="396"/>
    </row>
    <row r="2933" spans="1:13" s="367" customFormat="1" ht="22.5" customHeight="1">
      <c r="A2933" s="395"/>
      <c r="B2933" s="401" t="s">
        <v>1518</v>
      </c>
      <c r="C2933" s="397">
        <v>2</v>
      </c>
      <c r="D2933" s="397">
        <v>2</v>
      </c>
      <c r="E2933" s="397">
        <v>100</v>
      </c>
      <c r="F2933" s="398" t="s">
        <v>26</v>
      </c>
      <c r="G2933" s="398">
        <v>6.5000000000000002E-2</v>
      </c>
      <c r="H2933" s="398">
        <v>1.5</v>
      </c>
      <c r="I2933" s="399">
        <f>PRODUCT(C2933:H2933)</f>
        <v>39</v>
      </c>
      <c r="J2933" s="396"/>
    </row>
    <row r="2934" spans="1:13" s="367" customFormat="1" ht="22.5" customHeight="1">
      <c r="A2934" s="395"/>
      <c r="B2934" s="401" t="s">
        <v>1450</v>
      </c>
      <c r="C2934" s="397">
        <v>1</v>
      </c>
      <c r="D2934" s="397">
        <v>1</v>
      </c>
      <c r="E2934" s="397">
        <v>100</v>
      </c>
      <c r="F2934" s="398" t="s">
        <v>26</v>
      </c>
      <c r="G2934" s="398">
        <v>6.5000000000000002E-2</v>
      </c>
      <c r="H2934" s="398">
        <v>1.6</v>
      </c>
      <c r="I2934" s="399">
        <f>PRODUCT(C2934:H2934)</f>
        <v>10.4</v>
      </c>
      <c r="J2934" s="396"/>
    </row>
    <row r="2935" spans="1:13" s="367" customFormat="1" ht="22.5" customHeight="1">
      <c r="A2935" s="395"/>
      <c r="B2935" s="396" t="s">
        <v>944</v>
      </c>
      <c r="C2935" s="397"/>
      <c r="D2935" s="397"/>
      <c r="E2935" s="397"/>
      <c r="F2935" s="398"/>
      <c r="G2935" s="398"/>
      <c r="H2935" s="398"/>
      <c r="I2935" s="399"/>
      <c r="J2935" s="396"/>
    </row>
    <row r="2936" spans="1:13" s="367" customFormat="1" ht="22.5" customHeight="1">
      <c r="A2936" s="395"/>
      <c r="B2936" s="401" t="s">
        <v>1518</v>
      </c>
      <c r="C2936" s="397">
        <v>-1</v>
      </c>
      <c r="D2936" s="397">
        <v>2</v>
      </c>
      <c r="E2936" s="397">
        <v>100</v>
      </c>
      <c r="F2936" s="398">
        <v>0.75</v>
      </c>
      <c r="G2936" s="398" t="s">
        <v>26</v>
      </c>
      <c r="H2936" s="398">
        <v>1.5</v>
      </c>
      <c r="I2936" s="399">
        <f>PRODUCT(C2936:H2936)</f>
        <v>-225</v>
      </c>
      <c r="J2936" s="396"/>
    </row>
    <row r="2937" spans="1:13" s="367" customFormat="1" ht="22.5" customHeight="1">
      <c r="A2937" s="395"/>
      <c r="B2937" s="401" t="s">
        <v>1450</v>
      </c>
      <c r="C2937" s="397">
        <v>-1</v>
      </c>
      <c r="D2937" s="397">
        <v>1</v>
      </c>
      <c r="E2937" s="397">
        <v>100</v>
      </c>
      <c r="F2937" s="398">
        <v>1.1000000000000001</v>
      </c>
      <c r="G2937" s="398" t="s">
        <v>26</v>
      </c>
      <c r="H2937" s="398">
        <v>0.25</v>
      </c>
      <c r="I2937" s="399">
        <f>PRODUCT(C2937:H2937)</f>
        <v>-27.5</v>
      </c>
      <c r="J2937" s="396"/>
    </row>
    <row r="2938" spans="1:13" s="91" customFormat="1" ht="18" customHeight="1">
      <c r="A2938" s="340"/>
      <c r="B2938" s="492"/>
      <c r="C2938" s="493"/>
      <c r="D2938" s="280"/>
      <c r="E2938" s="493"/>
      <c r="F2938" s="338"/>
      <c r="G2938" s="338"/>
      <c r="H2938" s="338"/>
      <c r="I2938" s="339">
        <f>SUM(I2922:I2937)</f>
        <v>1850.65</v>
      </c>
      <c r="J2938" s="343" t="s">
        <v>4</v>
      </c>
      <c r="K2938" s="44"/>
      <c r="L2938" s="44"/>
      <c r="M2938" s="44"/>
    </row>
    <row r="2939" spans="1:13" s="91" customFormat="1" ht="24" customHeight="1">
      <c r="A2939" s="340"/>
      <c r="B2939" s="492"/>
      <c r="C2939" s="493"/>
      <c r="D2939" s="280"/>
      <c r="E2939" s="493"/>
      <c r="F2939" s="338"/>
      <c r="G2939" s="338"/>
      <c r="H2939" s="404" t="s">
        <v>55</v>
      </c>
      <c r="I2939" s="416">
        <f>ROUNDUP(I2938,1)</f>
        <v>1850.7</v>
      </c>
      <c r="J2939" s="343" t="s">
        <v>4</v>
      </c>
      <c r="K2939" s="44"/>
      <c r="L2939" s="44"/>
      <c r="M2939" s="44"/>
    </row>
    <row r="2940" spans="1:13" s="45" customFormat="1" ht="52.5" customHeight="1">
      <c r="A2940" s="288">
        <v>29.9</v>
      </c>
      <c r="B2940" s="286" t="s">
        <v>447</v>
      </c>
      <c r="C2940" s="280"/>
      <c r="D2940" s="280"/>
      <c r="E2940" s="280"/>
      <c r="F2940" s="282"/>
      <c r="G2940" s="415"/>
      <c r="H2940" s="415"/>
      <c r="I2940" s="416"/>
      <c r="J2940" s="278"/>
      <c r="K2940" s="46"/>
      <c r="L2940" s="46"/>
      <c r="M2940" s="46"/>
    </row>
    <row r="2941" spans="1:13" s="367" customFormat="1" ht="22.5" customHeight="1">
      <c r="A2941" s="395"/>
      <c r="B2941" s="396" t="s">
        <v>216</v>
      </c>
      <c r="C2941" s="397"/>
      <c r="D2941" s="397"/>
      <c r="E2941" s="397"/>
      <c r="F2941" s="410"/>
      <c r="G2941" s="410"/>
      <c r="H2941" s="410"/>
      <c r="I2941" s="399"/>
      <c r="J2941" s="396"/>
    </row>
    <row r="2942" spans="1:13" s="367" customFormat="1" ht="22.5" customHeight="1">
      <c r="A2942" s="395"/>
      <c r="B2942" s="401" t="s">
        <v>71</v>
      </c>
      <c r="C2942" s="397">
        <v>1</v>
      </c>
      <c r="D2942" s="397">
        <v>1</v>
      </c>
      <c r="E2942" s="397">
        <v>2</v>
      </c>
      <c r="F2942" s="398">
        <v>1.5</v>
      </c>
      <c r="G2942" s="398">
        <v>1.3149999999999999</v>
      </c>
      <c r="H2942" s="410" t="s">
        <v>26</v>
      </c>
      <c r="I2942" s="399">
        <f>PRODUCT(C2942:H2942)</f>
        <v>3.95</v>
      </c>
      <c r="J2942" s="396"/>
    </row>
    <row r="2943" spans="1:13" s="367" customFormat="1" ht="22.5" customHeight="1">
      <c r="A2943" s="395"/>
      <c r="B2943" s="401" t="s">
        <v>83</v>
      </c>
      <c r="C2943" s="397">
        <v>1</v>
      </c>
      <c r="D2943" s="397">
        <v>1</v>
      </c>
      <c r="E2943" s="397">
        <v>2</v>
      </c>
      <c r="F2943" s="398">
        <v>0.78500000000000003</v>
      </c>
      <c r="G2943" s="398">
        <v>1.43</v>
      </c>
      <c r="H2943" s="410" t="s">
        <v>26</v>
      </c>
      <c r="I2943" s="399">
        <f>PRODUCT(C2943:H2943)</f>
        <v>2.25</v>
      </c>
      <c r="J2943" s="396"/>
    </row>
    <row r="2944" spans="1:13" s="367" customFormat="1" ht="22.5" customHeight="1">
      <c r="A2944" s="395"/>
      <c r="B2944" s="396" t="s">
        <v>1566</v>
      </c>
      <c r="C2944" s="397"/>
      <c r="D2944" s="397"/>
      <c r="E2944" s="397"/>
      <c r="F2944" s="398"/>
      <c r="G2944" s="398"/>
      <c r="H2944" s="410"/>
      <c r="I2944" s="399"/>
      <c r="J2944" s="396"/>
    </row>
    <row r="2945" spans="1:14" s="367" customFormat="1" ht="22.5" customHeight="1">
      <c r="A2945" s="395"/>
      <c r="B2945" s="401" t="s">
        <v>1518</v>
      </c>
      <c r="C2945" s="397">
        <v>1</v>
      </c>
      <c r="D2945" s="397">
        <v>1</v>
      </c>
      <c r="E2945" s="397">
        <v>2</v>
      </c>
      <c r="F2945" s="398">
        <v>0.75</v>
      </c>
      <c r="G2945" s="398">
        <v>0.115</v>
      </c>
      <c r="H2945" s="410" t="s">
        <v>26</v>
      </c>
      <c r="I2945" s="399">
        <f>PRODUCT(C2945:H2945)</f>
        <v>0.17</v>
      </c>
      <c r="J2945" s="396"/>
    </row>
    <row r="2946" spans="1:14" s="367" customFormat="1" ht="22.5" customHeight="1">
      <c r="A2946" s="395"/>
      <c r="B2946" s="396" t="s">
        <v>1336</v>
      </c>
      <c r="C2946" s="397"/>
      <c r="D2946" s="397"/>
      <c r="E2946" s="397"/>
      <c r="F2946" s="398"/>
      <c r="G2946" s="398"/>
      <c r="H2946" s="410"/>
      <c r="I2946" s="399"/>
      <c r="J2946" s="396"/>
    </row>
    <row r="2947" spans="1:14" s="367" customFormat="1" ht="22.5" customHeight="1">
      <c r="A2947" s="395"/>
      <c r="B2947" s="401" t="s">
        <v>1567</v>
      </c>
      <c r="C2947" s="397">
        <v>1</v>
      </c>
      <c r="D2947" s="397">
        <v>1</v>
      </c>
      <c r="E2947" s="397">
        <v>100</v>
      </c>
      <c r="F2947" s="398">
        <v>1.2</v>
      </c>
      <c r="G2947" s="398">
        <v>2.1</v>
      </c>
      <c r="H2947" s="410" t="s">
        <v>26</v>
      </c>
      <c r="I2947" s="399">
        <f>PRODUCT(C2947:H2947)</f>
        <v>252</v>
      </c>
      <c r="J2947" s="396"/>
    </row>
    <row r="2948" spans="1:14" s="367" customFormat="1" ht="22.5" customHeight="1">
      <c r="A2948" s="395"/>
      <c r="B2948" s="401" t="s">
        <v>958</v>
      </c>
      <c r="C2948" s="397">
        <v>1</v>
      </c>
      <c r="D2948" s="397">
        <v>1</v>
      </c>
      <c r="E2948" s="397">
        <v>100</v>
      </c>
      <c r="F2948" s="398">
        <v>1.2</v>
      </c>
      <c r="G2948" s="398">
        <v>2.2850000000000001</v>
      </c>
      <c r="H2948" s="410" t="s">
        <v>26</v>
      </c>
      <c r="I2948" s="399">
        <f>PRODUCT(C2948:H2948)</f>
        <v>274.2</v>
      </c>
      <c r="J2948" s="396"/>
    </row>
    <row r="2949" spans="1:14" s="45" customFormat="1" ht="20.25" customHeight="1">
      <c r="A2949" s="278"/>
      <c r="B2949" s="279"/>
      <c r="C2949" s="280"/>
      <c r="D2949" s="280"/>
      <c r="E2949" s="280"/>
      <c r="F2949" s="282"/>
      <c r="G2949" s="415"/>
      <c r="H2949" s="415"/>
      <c r="I2949" s="416">
        <f>SUM(I2941:I2948)</f>
        <v>532.57000000000005</v>
      </c>
      <c r="J2949" s="343" t="s">
        <v>4</v>
      </c>
      <c r="K2949" s="44"/>
      <c r="L2949" s="44"/>
      <c r="M2949" s="44"/>
    </row>
    <row r="2950" spans="1:14" s="45" customFormat="1" ht="20.25" customHeight="1">
      <c r="A2950" s="278"/>
      <c r="B2950" s="279"/>
      <c r="C2950" s="280"/>
      <c r="D2950" s="280"/>
      <c r="E2950" s="280"/>
      <c r="F2950" s="282"/>
      <c r="G2950" s="415"/>
      <c r="H2950" s="415" t="s">
        <v>55</v>
      </c>
      <c r="I2950" s="416">
        <f>ROUNDUP(I2949,1)</f>
        <v>532.6</v>
      </c>
      <c r="J2950" s="343" t="s">
        <v>4</v>
      </c>
      <c r="K2950" s="44"/>
      <c r="L2950" s="44"/>
      <c r="M2950" s="44"/>
    </row>
    <row r="2951" spans="1:14" s="101" customFormat="1" ht="83.25" customHeight="1">
      <c r="A2951" s="343" t="s">
        <v>446</v>
      </c>
      <c r="B2951" s="490" t="s">
        <v>63</v>
      </c>
      <c r="C2951" s="537"/>
      <c r="D2951" s="538"/>
      <c r="E2951" s="537"/>
      <c r="F2951" s="412"/>
      <c r="G2951" s="412"/>
      <c r="H2951" s="412"/>
      <c r="I2951" s="339"/>
      <c r="J2951" s="288"/>
      <c r="K2951" s="47"/>
      <c r="L2951" s="47"/>
      <c r="M2951" s="47"/>
    </row>
    <row r="2952" spans="1:14" s="45" customFormat="1" ht="21.75" customHeight="1">
      <c r="A2952" s="278"/>
      <c r="B2952" s="286" t="s">
        <v>445</v>
      </c>
      <c r="C2952" s="280"/>
      <c r="D2952" s="280"/>
      <c r="E2952" s="280"/>
      <c r="F2952" s="282"/>
      <c r="G2952" s="415"/>
      <c r="H2952" s="415"/>
      <c r="I2952" s="416"/>
      <c r="J2952" s="278"/>
      <c r="K2952" s="46"/>
      <c r="L2952" s="46"/>
      <c r="M2952" s="46"/>
    </row>
    <row r="2953" spans="1:14" s="45" customFormat="1" ht="21.75" customHeight="1">
      <c r="A2953" s="278"/>
      <c r="B2953" s="279" t="s">
        <v>114</v>
      </c>
      <c r="C2953" s="280">
        <v>1</v>
      </c>
      <c r="D2953" s="280">
        <v>1</v>
      </c>
      <c r="E2953" s="280">
        <v>1</v>
      </c>
      <c r="F2953" s="282">
        <v>5.19</v>
      </c>
      <c r="G2953" s="281">
        <v>3.2349999999999999</v>
      </c>
      <c r="H2953" s="415"/>
      <c r="I2953" s="347">
        <f t="shared" ref="I2953:I2968" si="134">PRODUCT(C2953:H2953)</f>
        <v>16.79</v>
      </c>
      <c r="J2953" s="278"/>
      <c r="K2953" s="46"/>
      <c r="L2953" s="46"/>
      <c r="M2953" s="46"/>
      <c r="N2953" s="45">
        <f>5.185+3.235+5.185+3.235</f>
        <v>16.84</v>
      </c>
    </row>
    <row r="2954" spans="1:14" s="45" customFormat="1" ht="21.75" customHeight="1">
      <c r="A2954" s="278"/>
      <c r="B2954" s="279" t="s">
        <v>444</v>
      </c>
      <c r="C2954" s="280">
        <v>1</v>
      </c>
      <c r="D2954" s="280">
        <v>1</v>
      </c>
      <c r="E2954" s="280">
        <v>1</v>
      </c>
      <c r="F2954" s="282">
        <v>0.9</v>
      </c>
      <c r="G2954" s="281">
        <v>0.115</v>
      </c>
      <c r="H2954" s="415"/>
      <c r="I2954" s="347">
        <f t="shared" si="134"/>
        <v>0.1</v>
      </c>
      <c r="J2954" s="278"/>
      <c r="K2954" s="46"/>
      <c r="L2954" s="46"/>
      <c r="M2954" s="46"/>
    </row>
    <row r="2955" spans="1:14" s="45" customFormat="1" ht="21.75" customHeight="1">
      <c r="A2955" s="278"/>
      <c r="B2955" s="279" t="s">
        <v>436</v>
      </c>
      <c r="C2955" s="280">
        <v>1</v>
      </c>
      <c r="D2955" s="280">
        <v>1</v>
      </c>
      <c r="E2955" s="280">
        <v>1</v>
      </c>
      <c r="F2955" s="282">
        <v>16.84</v>
      </c>
      <c r="G2955" s="282"/>
      <c r="H2955" s="282">
        <v>0.1</v>
      </c>
      <c r="I2955" s="347">
        <f t="shared" si="134"/>
        <v>1.68</v>
      </c>
      <c r="J2955" s="278"/>
      <c r="K2955" s="46"/>
      <c r="L2955" s="46"/>
      <c r="M2955" s="46"/>
    </row>
    <row r="2956" spans="1:14" s="45" customFormat="1" ht="21.75" customHeight="1">
      <c r="A2956" s="278"/>
      <c r="B2956" s="279" t="s">
        <v>440</v>
      </c>
      <c r="C2956" s="280">
        <v>-1</v>
      </c>
      <c r="D2956" s="280">
        <v>1</v>
      </c>
      <c r="E2956" s="280">
        <v>1</v>
      </c>
      <c r="F2956" s="282">
        <v>0.9</v>
      </c>
      <c r="G2956" s="282"/>
      <c r="H2956" s="282">
        <v>0.1</v>
      </c>
      <c r="I2956" s="347">
        <f t="shared" si="134"/>
        <v>-0.09</v>
      </c>
      <c r="J2956" s="278"/>
      <c r="K2956" s="46"/>
      <c r="L2956" s="46"/>
      <c r="M2956" s="46"/>
    </row>
    <row r="2957" spans="1:14" s="45" customFormat="1" ht="21.75" customHeight="1">
      <c r="A2957" s="278"/>
      <c r="B2957" s="279" t="s">
        <v>443</v>
      </c>
      <c r="C2957" s="280">
        <v>1</v>
      </c>
      <c r="D2957" s="280">
        <v>2</v>
      </c>
      <c r="E2957" s="280">
        <v>1</v>
      </c>
      <c r="F2957" s="282">
        <v>7.0000000000000007E-2</v>
      </c>
      <c r="G2957" s="282"/>
      <c r="H2957" s="282">
        <v>0.1</v>
      </c>
      <c r="I2957" s="347">
        <f t="shared" si="134"/>
        <v>0.01</v>
      </c>
      <c r="J2957" s="278"/>
      <c r="K2957" s="46"/>
      <c r="L2957" s="46"/>
      <c r="M2957" s="46"/>
    </row>
    <row r="2958" spans="1:14" s="45" customFormat="1" ht="21.75" customHeight="1">
      <c r="A2958" s="278"/>
      <c r="B2958" s="279" t="s">
        <v>442</v>
      </c>
      <c r="C2958" s="280">
        <v>1</v>
      </c>
      <c r="D2958" s="280">
        <v>1</v>
      </c>
      <c r="E2958" s="280">
        <v>2</v>
      </c>
      <c r="F2958" s="282">
        <v>1.55</v>
      </c>
      <c r="G2958" s="281">
        <v>3.4649999999999999</v>
      </c>
      <c r="H2958" s="282"/>
      <c r="I2958" s="347">
        <f t="shared" si="134"/>
        <v>10.74</v>
      </c>
      <c r="J2958" s="278"/>
      <c r="K2958" s="46"/>
      <c r="L2958" s="46"/>
      <c r="M2958" s="46"/>
    </row>
    <row r="2959" spans="1:14" s="45" customFormat="1" ht="21.75" customHeight="1">
      <c r="A2959" s="278"/>
      <c r="B2959" s="279" t="s">
        <v>441</v>
      </c>
      <c r="C2959" s="280">
        <v>1</v>
      </c>
      <c r="D2959" s="280">
        <v>1</v>
      </c>
      <c r="E2959" s="280">
        <v>2</v>
      </c>
      <c r="F2959" s="282">
        <v>10.029999999999999</v>
      </c>
      <c r="G2959" s="282"/>
      <c r="H2959" s="282">
        <v>0.1</v>
      </c>
      <c r="I2959" s="347">
        <f t="shared" si="134"/>
        <v>2.0099999999999998</v>
      </c>
      <c r="J2959" s="278"/>
      <c r="K2959" s="46"/>
      <c r="L2959" s="46"/>
      <c r="M2959" s="46"/>
      <c r="N2959" s="45">
        <f>1.55+3.465+1.55+3.465</f>
        <v>10.029999999999999</v>
      </c>
    </row>
    <row r="2960" spans="1:14" s="45" customFormat="1" ht="21.75" customHeight="1">
      <c r="A2960" s="278"/>
      <c r="B2960" s="279" t="s">
        <v>440</v>
      </c>
      <c r="C2960" s="280">
        <v>-1</v>
      </c>
      <c r="D2960" s="280">
        <v>1</v>
      </c>
      <c r="E2960" s="280">
        <v>2</v>
      </c>
      <c r="F2960" s="282">
        <v>0.9</v>
      </c>
      <c r="G2960" s="282"/>
      <c r="H2960" s="282">
        <v>0.1</v>
      </c>
      <c r="I2960" s="347">
        <f t="shared" si="134"/>
        <v>-0.18</v>
      </c>
      <c r="J2960" s="278"/>
      <c r="K2960" s="46"/>
      <c r="L2960" s="46"/>
      <c r="M2960" s="46"/>
    </row>
    <row r="2961" spans="1:30" s="45" customFormat="1" ht="21.75" customHeight="1">
      <c r="A2961" s="278"/>
      <c r="B2961" s="279" t="s">
        <v>439</v>
      </c>
      <c r="C2961" s="280">
        <v>-1</v>
      </c>
      <c r="D2961" s="280">
        <v>1</v>
      </c>
      <c r="E2961" s="280">
        <v>2</v>
      </c>
      <c r="F2961" s="282">
        <v>1.5</v>
      </c>
      <c r="G2961" s="282"/>
      <c r="H2961" s="282">
        <v>0.1</v>
      </c>
      <c r="I2961" s="347">
        <f t="shared" si="134"/>
        <v>-0.3</v>
      </c>
      <c r="J2961" s="278"/>
      <c r="K2961" s="46"/>
      <c r="L2961" s="46"/>
      <c r="M2961" s="46"/>
    </row>
    <row r="2962" spans="1:30" s="45" customFormat="1" ht="21.75" customHeight="1">
      <c r="A2962" s="278"/>
      <c r="B2962" s="279" t="s">
        <v>438</v>
      </c>
      <c r="C2962" s="280">
        <v>1</v>
      </c>
      <c r="D2962" s="280">
        <v>2</v>
      </c>
      <c r="E2962" s="280">
        <v>2</v>
      </c>
      <c r="F2962" s="282">
        <v>7.0000000000000007E-2</v>
      </c>
      <c r="G2962" s="282"/>
      <c r="H2962" s="282">
        <v>0.1</v>
      </c>
      <c r="I2962" s="347">
        <f t="shared" si="134"/>
        <v>0.03</v>
      </c>
      <c r="J2962" s="278"/>
      <c r="K2962" s="46"/>
      <c r="L2962" s="46"/>
      <c r="M2962" s="46"/>
    </row>
    <row r="2963" spans="1:30" s="45" customFormat="1" ht="21.75" customHeight="1">
      <c r="A2963" s="278"/>
      <c r="B2963" s="279" t="s">
        <v>112</v>
      </c>
      <c r="C2963" s="280">
        <v>1</v>
      </c>
      <c r="D2963" s="280">
        <v>1</v>
      </c>
      <c r="E2963" s="280">
        <v>1</v>
      </c>
      <c r="F2963" s="282">
        <v>5.19</v>
      </c>
      <c r="G2963" s="281">
        <v>3.2349999999999999</v>
      </c>
      <c r="H2963" s="282"/>
      <c r="I2963" s="347">
        <f t="shared" si="134"/>
        <v>16.79</v>
      </c>
      <c r="J2963" s="278"/>
      <c r="K2963" s="46"/>
      <c r="L2963" s="46"/>
      <c r="M2963" s="46"/>
    </row>
    <row r="2964" spans="1:30" s="45" customFormat="1" ht="21.75" customHeight="1">
      <c r="A2964" s="278"/>
      <c r="B2964" s="279" t="s">
        <v>437</v>
      </c>
      <c r="C2964" s="280">
        <v>1</v>
      </c>
      <c r="D2964" s="280">
        <v>1</v>
      </c>
      <c r="E2964" s="280">
        <v>1</v>
      </c>
      <c r="F2964" s="282">
        <v>0.9</v>
      </c>
      <c r="G2964" s="281">
        <v>7.0000000000000007E-2</v>
      </c>
      <c r="H2964" s="282"/>
      <c r="I2964" s="347">
        <f t="shared" si="134"/>
        <v>0.06</v>
      </c>
      <c r="J2964" s="278"/>
      <c r="K2964" s="46"/>
      <c r="L2964" s="46"/>
      <c r="M2964" s="46"/>
    </row>
    <row r="2965" spans="1:30" s="45" customFormat="1" ht="21.75" customHeight="1">
      <c r="A2965" s="278"/>
      <c r="B2965" s="279" t="s">
        <v>436</v>
      </c>
      <c r="C2965" s="280">
        <v>1</v>
      </c>
      <c r="D2965" s="280">
        <v>1</v>
      </c>
      <c r="E2965" s="280">
        <v>1</v>
      </c>
      <c r="F2965" s="282">
        <f>5.185+3.235+5.185+3.235</f>
        <v>16.84</v>
      </c>
      <c r="G2965" s="282"/>
      <c r="H2965" s="282">
        <v>0.1</v>
      </c>
      <c r="I2965" s="347">
        <f t="shared" si="134"/>
        <v>1.68</v>
      </c>
      <c r="J2965" s="278"/>
      <c r="K2965" s="46"/>
      <c r="L2965" s="46"/>
      <c r="M2965" s="46"/>
    </row>
    <row r="2966" spans="1:30" s="45" customFormat="1" ht="21.75" customHeight="1">
      <c r="A2966" s="278"/>
      <c r="B2966" s="279" t="s">
        <v>426</v>
      </c>
      <c r="C2966" s="280">
        <v>-1</v>
      </c>
      <c r="D2966" s="280">
        <v>1</v>
      </c>
      <c r="E2966" s="280">
        <v>1</v>
      </c>
      <c r="F2966" s="282">
        <v>0.9</v>
      </c>
      <c r="G2966" s="282"/>
      <c r="H2966" s="282">
        <v>0.1</v>
      </c>
      <c r="I2966" s="347">
        <f t="shared" si="134"/>
        <v>-0.09</v>
      </c>
      <c r="J2966" s="278"/>
      <c r="K2966" s="46"/>
      <c r="L2966" s="46"/>
      <c r="M2966" s="46"/>
    </row>
    <row r="2967" spans="1:30" s="45" customFormat="1" ht="21.75" customHeight="1">
      <c r="A2967" s="278"/>
      <c r="B2967" s="279" t="s">
        <v>435</v>
      </c>
      <c r="C2967" s="280">
        <v>1</v>
      </c>
      <c r="D2967" s="280">
        <v>1</v>
      </c>
      <c r="E2967" s="280">
        <v>2</v>
      </c>
      <c r="F2967" s="282">
        <v>7.0000000000000007E-2</v>
      </c>
      <c r="G2967" s="281"/>
      <c r="H2967" s="282">
        <v>0.1</v>
      </c>
      <c r="I2967" s="347">
        <f t="shared" si="134"/>
        <v>0.01</v>
      </c>
      <c r="J2967" s="278"/>
      <c r="K2967" s="46"/>
      <c r="L2967" s="46"/>
      <c r="M2967" s="46"/>
    </row>
    <row r="2968" spans="1:30" s="45" customFormat="1" ht="21.75" customHeight="1">
      <c r="A2968" s="278"/>
      <c r="B2968" s="279" t="s">
        <v>434</v>
      </c>
      <c r="C2968" s="280">
        <v>-1</v>
      </c>
      <c r="D2968" s="280">
        <v>1</v>
      </c>
      <c r="E2968" s="280">
        <v>1</v>
      </c>
      <c r="F2968" s="282">
        <v>0.75</v>
      </c>
      <c r="G2968" s="282"/>
      <c r="H2968" s="282">
        <v>0.1</v>
      </c>
      <c r="I2968" s="347">
        <f t="shared" si="134"/>
        <v>-0.08</v>
      </c>
      <c r="J2968" s="278"/>
      <c r="K2968" s="46"/>
      <c r="L2968" s="46"/>
      <c r="M2968" s="46"/>
    </row>
    <row r="2969" spans="1:30" s="45" customFormat="1" ht="23.25" customHeight="1">
      <c r="A2969" s="278"/>
      <c r="B2969" s="279"/>
      <c r="C2969" s="280"/>
      <c r="D2969" s="280"/>
      <c r="E2969" s="280"/>
      <c r="F2969" s="282"/>
      <c r="G2969" s="282"/>
      <c r="H2969" s="282"/>
      <c r="I2969" s="339">
        <f>SUM(I2953:I2968)</f>
        <v>49.16</v>
      </c>
      <c r="J2969" s="343" t="s">
        <v>4</v>
      </c>
      <c r="K2969" s="44"/>
      <c r="L2969" s="44"/>
      <c r="M2969" s="44"/>
    </row>
    <row r="2970" spans="1:30" s="45" customFormat="1" ht="23.25" customHeight="1">
      <c r="A2970" s="278"/>
      <c r="B2970" s="286" t="s">
        <v>433</v>
      </c>
      <c r="C2970" s="280"/>
      <c r="D2970" s="280"/>
      <c r="E2970" s="280"/>
      <c r="F2970" s="282"/>
      <c r="G2970" s="282"/>
      <c r="H2970" s="282"/>
      <c r="I2970" s="347"/>
      <c r="J2970" s="278"/>
      <c r="K2970" s="46"/>
      <c r="L2970" s="46"/>
      <c r="M2970" s="46"/>
    </row>
    <row r="2971" spans="1:30" s="45" customFormat="1" ht="23.25" customHeight="1">
      <c r="A2971" s="278"/>
      <c r="B2971" s="286" t="s">
        <v>89</v>
      </c>
      <c r="C2971" s="280"/>
      <c r="D2971" s="280"/>
      <c r="E2971" s="280"/>
      <c r="F2971" s="282"/>
      <c r="G2971" s="282"/>
      <c r="H2971" s="282"/>
      <c r="I2971" s="347"/>
      <c r="J2971" s="278"/>
      <c r="K2971" s="46"/>
      <c r="L2971" s="46"/>
      <c r="M2971" s="46"/>
    </row>
    <row r="2972" spans="1:30" s="64" customFormat="1" ht="19.5" customHeight="1">
      <c r="A2972" s="307"/>
      <c r="B2972" s="293" t="s">
        <v>414</v>
      </c>
      <c r="C2972" s="307">
        <v>1</v>
      </c>
      <c r="D2972" s="307">
        <v>1</v>
      </c>
      <c r="E2972" s="307">
        <v>10</v>
      </c>
      <c r="F2972" s="307">
        <v>3.35</v>
      </c>
      <c r="G2972" s="317">
        <v>5.18</v>
      </c>
      <c r="H2972" s="317"/>
      <c r="I2972" s="323">
        <f t="shared" ref="I2972:I2977" si="135">PRODUCT(C2972:H2972)</f>
        <v>173.53</v>
      </c>
      <c r="J2972" s="322"/>
      <c r="K2972" s="65"/>
      <c r="L2972" s="65"/>
      <c r="M2972" s="65"/>
      <c r="N2972" s="65"/>
      <c r="O2972" s="65"/>
      <c r="P2972" s="65"/>
      <c r="Q2972" s="65"/>
      <c r="R2972" s="65"/>
      <c r="S2972" s="65"/>
      <c r="T2972" s="65"/>
      <c r="U2972" s="65"/>
      <c r="V2972" s="65"/>
      <c r="W2972" s="65"/>
      <c r="X2972" s="65"/>
      <c r="Y2972" s="65"/>
      <c r="Z2972" s="65"/>
      <c r="AA2972" s="65"/>
      <c r="AB2972" s="65"/>
      <c r="AC2972" s="65"/>
      <c r="AD2972" s="65"/>
    </row>
    <row r="2973" spans="1:30" s="64" customFormat="1" ht="19.5" customHeight="1">
      <c r="A2973" s="307"/>
      <c r="B2973" s="293" t="s">
        <v>432</v>
      </c>
      <c r="C2973" s="307">
        <v>1</v>
      </c>
      <c r="D2973" s="307">
        <v>1</v>
      </c>
      <c r="E2973" s="307">
        <v>10</v>
      </c>
      <c r="F2973" s="308">
        <v>1</v>
      </c>
      <c r="G2973" s="308">
        <v>0.13</v>
      </c>
      <c r="H2973" s="317"/>
      <c r="I2973" s="323">
        <f t="shared" si="135"/>
        <v>1.3</v>
      </c>
      <c r="J2973" s="322"/>
      <c r="K2973" s="65"/>
      <c r="L2973" s="65"/>
      <c r="M2973" s="65"/>
      <c r="N2973" s="65"/>
      <c r="O2973" s="65"/>
      <c r="P2973" s="65"/>
      <c r="Q2973" s="65"/>
      <c r="R2973" s="65"/>
      <c r="S2973" s="65"/>
      <c r="T2973" s="65"/>
      <c r="U2973" s="65"/>
      <c r="V2973" s="65"/>
      <c r="W2973" s="65"/>
      <c r="X2973" s="65"/>
      <c r="Y2973" s="65"/>
      <c r="Z2973" s="65"/>
      <c r="AA2973" s="65"/>
      <c r="AB2973" s="65"/>
      <c r="AC2973" s="65"/>
      <c r="AD2973" s="65"/>
    </row>
    <row r="2974" spans="1:30" s="64" customFormat="1" ht="19.5" customHeight="1">
      <c r="A2974" s="307"/>
      <c r="B2974" s="293" t="s">
        <v>412</v>
      </c>
      <c r="C2974" s="307">
        <v>1</v>
      </c>
      <c r="D2974" s="307">
        <v>1</v>
      </c>
      <c r="E2974" s="307">
        <v>10</v>
      </c>
      <c r="F2974" s="308">
        <v>17.059999999999999</v>
      </c>
      <c r="G2974" s="308"/>
      <c r="H2974" s="308">
        <v>0.1</v>
      </c>
      <c r="I2974" s="323">
        <f t="shared" si="135"/>
        <v>17.059999999999999</v>
      </c>
      <c r="J2974" s="322"/>
      <c r="K2974" s="65"/>
      <c r="L2974" s="65"/>
      <c r="M2974" s="65"/>
      <c r="N2974" s="65"/>
      <c r="O2974" s="65"/>
      <c r="P2974" s="65"/>
      <c r="Q2974" s="65"/>
      <c r="R2974" s="65"/>
      <c r="S2974" s="65"/>
      <c r="T2974" s="65"/>
      <c r="U2974" s="65"/>
      <c r="V2974" s="65"/>
      <c r="W2974" s="65"/>
      <c r="X2974" s="65"/>
      <c r="Y2974" s="65"/>
      <c r="Z2974" s="65"/>
      <c r="AA2974" s="65"/>
      <c r="AB2974" s="65"/>
      <c r="AC2974" s="65"/>
      <c r="AD2974" s="65"/>
    </row>
    <row r="2975" spans="1:30" s="64" customFormat="1" ht="19.5" customHeight="1">
      <c r="A2975" s="307"/>
      <c r="B2975" s="293" t="s">
        <v>94</v>
      </c>
      <c r="C2975" s="307">
        <v>-1</v>
      </c>
      <c r="D2975" s="307">
        <v>1</v>
      </c>
      <c r="E2975" s="307">
        <v>10</v>
      </c>
      <c r="F2975" s="308">
        <v>1</v>
      </c>
      <c r="G2975" s="308"/>
      <c r="H2975" s="308">
        <v>0.1</v>
      </c>
      <c r="I2975" s="323">
        <f t="shared" si="135"/>
        <v>-1</v>
      </c>
      <c r="J2975" s="322"/>
      <c r="K2975" s="65"/>
      <c r="L2975" s="65"/>
      <c r="M2975" s="65"/>
      <c r="N2975" s="65">
        <f>3.35+5.18+3.35+5.18</f>
        <v>17.059999999999999</v>
      </c>
      <c r="O2975" s="65"/>
      <c r="P2975" s="65"/>
      <c r="Q2975" s="65"/>
      <c r="R2975" s="65"/>
      <c r="S2975" s="65"/>
      <c r="T2975" s="65"/>
      <c r="U2975" s="65"/>
      <c r="V2975" s="65"/>
      <c r="W2975" s="65"/>
      <c r="X2975" s="65"/>
      <c r="Y2975" s="65"/>
      <c r="Z2975" s="65"/>
      <c r="AA2975" s="65"/>
      <c r="AB2975" s="65"/>
      <c r="AC2975" s="65"/>
      <c r="AD2975" s="65"/>
    </row>
    <row r="2976" spans="1:30" s="64" customFormat="1" ht="19.5" customHeight="1">
      <c r="A2976" s="307"/>
      <c r="B2976" s="293" t="s">
        <v>431</v>
      </c>
      <c r="C2976" s="307">
        <v>1</v>
      </c>
      <c r="D2976" s="307">
        <v>2</v>
      </c>
      <c r="E2976" s="307">
        <v>10</v>
      </c>
      <c r="F2976" s="308">
        <v>0.13</v>
      </c>
      <c r="G2976" s="308"/>
      <c r="H2976" s="308">
        <v>0.1</v>
      </c>
      <c r="I2976" s="323">
        <f t="shared" si="135"/>
        <v>0.26</v>
      </c>
      <c r="J2976" s="322"/>
      <c r="K2976" s="65"/>
      <c r="L2976" s="65"/>
      <c r="M2976" s="65"/>
      <c r="N2976" s="65"/>
      <c r="O2976" s="65"/>
      <c r="P2976" s="65"/>
      <c r="Q2976" s="65"/>
      <c r="R2976" s="65"/>
      <c r="S2976" s="65"/>
      <c r="T2976" s="65"/>
      <c r="U2976" s="65"/>
      <c r="V2976" s="65"/>
      <c r="W2976" s="65"/>
      <c r="X2976" s="65"/>
      <c r="Y2976" s="65"/>
      <c r="Z2976" s="65"/>
      <c r="AA2976" s="65"/>
      <c r="AB2976" s="65"/>
      <c r="AC2976" s="65"/>
      <c r="AD2976" s="65"/>
    </row>
    <row r="2977" spans="1:30" s="64" customFormat="1" ht="19.5" customHeight="1">
      <c r="A2977" s="307"/>
      <c r="B2977" s="293" t="s">
        <v>426</v>
      </c>
      <c r="C2977" s="307">
        <v>-1</v>
      </c>
      <c r="D2977" s="307">
        <v>2</v>
      </c>
      <c r="E2977" s="307">
        <v>10</v>
      </c>
      <c r="F2977" s="308">
        <v>0.9</v>
      </c>
      <c r="G2977" s="308"/>
      <c r="H2977" s="308">
        <v>0.1</v>
      </c>
      <c r="I2977" s="323">
        <f t="shared" si="135"/>
        <v>-1.8</v>
      </c>
      <c r="J2977" s="322"/>
      <c r="K2977" s="65"/>
      <c r="L2977" s="65"/>
      <c r="M2977" s="65"/>
      <c r="N2977" s="65"/>
      <c r="O2977" s="65"/>
      <c r="P2977" s="65"/>
      <c r="Q2977" s="65"/>
      <c r="R2977" s="65"/>
      <c r="S2977" s="65"/>
      <c r="T2977" s="65"/>
      <c r="U2977" s="65"/>
      <c r="V2977" s="65"/>
      <c r="W2977" s="65"/>
      <c r="X2977" s="65"/>
      <c r="Y2977" s="65"/>
      <c r="Z2977" s="65"/>
      <c r="AA2977" s="65"/>
      <c r="AB2977" s="65"/>
      <c r="AC2977" s="65"/>
      <c r="AD2977" s="65"/>
    </row>
    <row r="2978" spans="1:30" s="64" customFormat="1" ht="19.5" customHeight="1">
      <c r="A2978" s="307"/>
      <c r="B2978" s="319" t="s">
        <v>430</v>
      </c>
      <c r="C2978" s="307"/>
      <c r="D2978" s="307"/>
      <c r="E2978" s="307"/>
      <c r="F2978" s="308"/>
      <c r="G2978" s="308"/>
      <c r="H2978" s="308"/>
      <c r="I2978" s="323"/>
      <c r="J2978" s="322"/>
      <c r="K2978" s="65"/>
      <c r="L2978" s="65"/>
      <c r="M2978" s="65"/>
      <c r="N2978" s="65"/>
      <c r="O2978" s="65"/>
      <c r="P2978" s="65"/>
      <c r="Q2978" s="65"/>
      <c r="R2978" s="65"/>
      <c r="S2978" s="65"/>
      <c r="T2978" s="65"/>
      <c r="U2978" s="65"/>
      <c r="V2978" s="65"/>
      <c r="W2978" s="65"/>
      <c r="X2978" s="65"/>
      <c r="Y2978" s="65"/>
      <c r="Z2978" s="65"/>
      <c r="AA2978" s="65"/>
      <c r="AB2978" s="65"/>
      <c r="AC2978" s="65"/>
      <c r="AD2978" s="65"/>
    </row>
    <row r="2979" spans="1:30" s="64" customFormat="1" ht="19.5" customHeight="1">
      <c r="A2979" s="307"/>
      <c r="B2979" s="293" t="s">
        <v>414</v>
      </c>
      <c r="C2979" s="307">
        <v>1</v>
      </c>
      <c r="D2979" s="307">
        <v>1</v>
      </c>
      <c r="E2979" s="307">
        <v>10</v>
      </c>
      <c r="F2979" s="317">
        <v>3.35</v>
      </c>
      <c r="G2979" s="308">
        <v>3.6</v>
      </c>
      <c r="H2979" s="317"/>
      <c r="I2979" s="323">
        <f t="shared" ref="I2979:I2984" si="136">PRODUCT(C2979:H2979)</f>
        <v>120.6</v>
      </c>
      <c r="J2979" s="322"/>
      <c r="K2979" s="65"/>
      <c r="L2979" s="65"/>
      <c r="M2979" s="65"/>
      <c r="N2979" s="65"/>
      <c r="O2979" s="65"/>
      <c r="P2979" s="65"/>
      <c r="Q2979" s="65"/>
      <c r="R2979" s="65"/>
      <c r="S2979" s="65"/>
      <c r="T2979" s="65"/>
      <c r="U2979" s="65"/>
      <c r="V2979" s="65"/>
      <c r="W2979" s="65"/>
      <c r="X2979" s="65"/>
      <c r="Y2979" s="65"/>
      <c r="Z2979" s="65"/>
      <c r="AA2979" s="65"/>
      <c r="AB2979" s="65"/>
      <c r="AC2979" s="65"/>
      <c r="AD2979" s="65"/>
    </row>
    <row r="2980" spans="1:30" s="64" customFormat="1" ht="19.5" customHeight="1">
      <c r="A2980" s="307"/>
      <c r="B2980" s="293" t="s">
        <v>427</v>
      </c>
      <c r="C2980" s="307">
        <v>1</v>
      </c>
      <c r="D2980" s="307">
        <v>1</v>
      </c>
      <c r="E2980" s="307">
        <v>10</v>
      </c>
      <c r="F2980" s="317">
        <v>0.9</v>
      </c>
      <c r="G2980" s="308">
        <v>0.1</v>
      </c>
      <c r="H2980" s="317"/>
      <c r="I2980" s="323">
        <f t="shared" si="136"/>
        <v>0.9</v>
      </c>
      <c r="J2980" s="322"/>
      <c r="K2980" s="65"/>
      <c r="L2980" s="65"/>
      <c r="M2980" s="65"/>
      <c r="N2980" s="65"/>
      <c r="O2980" s="65"/>
      <c r="P2980" s="65"/>
      <c r="Q2980" s="65"/>
      <c r="R2980" s="65"/>
      <c r="S2980" s="65"/>
      <c r="T2980" s="65"/>
      <c r="U2980" s="65"/>
      <c r="V2980" s="65"/>
      <c r="W2980" s="65"/>
      <c r="X2980" s="65"/>
      <c r="Y2980" s="65"/>
      <c r="Z2980" s="65"/>
      <c r="AA2980" s="65"/>
      <c r="AB2980" s="65"/>
      <c r="AC2980" s="65"/>
      <c r="AD2980" s="65"/>
    </row>
    <row r="2981" spans="1:30" s="64" customFormat="1" ht="19.5" customHeight="1">
      <c r="A2981" s="307"/>
      <c r="B2981" s="293" t="s">
        <v>429</v>
      </c>
      <c r="C2981" s="307">
        <v>1</v>
      </c>
      <c r="D2981" s="307">
        <v>1</v>
      </c>
      <c r="E2981" s="307">
        <v>10</v>
      </c>
      <c r="F2981" s="317">
        <v>13.9</v>
      </c>
      <c r="G2981" s="308"/>
      <c r="H2981" s="317">
        <v>0.1</v>
      </c>
      <c r="I2981" s="323">
        <f t="shared" si="136"/>
        <v>13.9</v>
      </c>
      <c r="J2981" s="322"/>
      <c r="K2981" s="65"/>
      <c r="L2981" s="65"/>
      <c r="M2981" s="65"/>
      <c r="N2981" s="80">
        <f>3.35+3.6+3.35+3.6</f>
        <v>13.9</v>
      </c>
      <c r="O2981" s="65"/>
      <c r="P2981" s="65"/>
      <c r="Q2981" s="65"/>
      <c r="R2981" s="65"/>
      <c r="S2981" s="65"/>
      <c r="T2981" s="65"/>
      <c r="U2981" s="65"/>
      <c r="V2981" s="65"/>
      <c r="W2981" s="65"/>
      <c r="X2981" s="65"/>
      <c r="Y2981" s="65"/>
      <c r="Z2981" s="65"/>
      <c r="AA2981" s="65"/>
      <c r="AB2981" s="65"/>
      <c r="AC2981" s="65"/>
      <c r="AD2981" s="65"/>
    </row>
    <row r="2982" spans="1:30" s="64" customFormat="1" ht="19.5" customHeight="1">
      <c r="A2982" s="307"/>
      <c r="B2982" s="293" t="s">
        <v>426</v>
      </c>
      <c r="C2982" s="307">
        <v>-1</v>
      </c>
      <c r="D2982" s="307">
        <v>1</v>
      </c>
      <c r="E2982" s="307">
        <v>10</v>
      </c>
      <c r="F2982" s="317">
        <v>0.9</v>
      </c>
      <c r="G2982" s="308"/>
      <c r="H2982" s="317">
        <v>0.1</v>
      </c>
      <c r="I2982" s="323">
        <f t="shared" si="136"/>
        <v>-0.9</v>
      </c>
      <c r="J2982" s="322"/>
      <c r="K2982" s="65"/>
      <c r="L2982" s="65"/>
      <c r="M2982" s="65"/>
      <c r="N2982" s="65"/>
      <c r="O2982" s="65"/>
      <c r="P2982" s="65"/>
      <c r="Q2982" s="65"/>
      <c r="R2982" s="65"/>
      <c r="S2982" s="65"/>
      <c r="T2982" s="65"/>
      <c r="U2982" s="65"/>
      <c r="V2982" s="65"/>
      <c r="W2982" s="65"/>
      <c r="X2982" s="65"/>
      <c r="Y2982" s="65"/>
      <c r="Z2982" s="65"/>
      <c r="AA2982" s="65"/>
      <c r="AB2982" s="65"/>
      <c r="AC2982" s="65"/>
      <c r="AD2982" s="65"/>
    </row>
    <row r="2983" spans="1:30" s="64" customFormat="1" ht="19.5" customHeight="1">
      <c r="A2983" s="307"/>
      <c r="B2983" s="293" t="s">
        <v>425</v>
      </c>
      <c r="C2983" s="307">
        <v>1</v>
      </c>
      <c r="D2983" s="307">
        <v>2</v>
      </c>
      <c r="E2983" s="307">
        <v>10</v>
      </c>
      <c r="F2983" s="317">
        <v>0.115</v>
      </c>
      <c r="G2983" s="308"/>
      <c r="H2983" s="317">
        <v>0.1</v>
      </c>
      <c r="I2983" s="323">
        <f t="shared" si="136"/>
        <v>0.23</v>
      </c>
      <c r="J2983" s="322"/>
      <c r="K2983" s="65"/>
      <c r="L2983" s="65"/>
      <c r="M2983" s="65"/>
      <c r="N2983" s="65"/>
      <c r="O2983" s="65"/>
      <c r="P2983" s="65"/>
      <c r="Q2983" s="65"/>
      <c r="R2983" s="65"/>
      <c r="S2983" s="65"/>
      <c r="T2983" s="65"/>
      <c r="U2983" s="65"/>
      <c r="V2983" s="65"/>
      <c r="W2983" s="65"/>
      <c r="X2983" s="65"/>
      <c r="Y2983" s="65"/>
      <c r="Z2983" s="65"/>
      <c r="AA2983" s="65"/>
      <c r="AB2983" s="65"/>
      <c r="AC2983" s="65"/>
      <c r="AD2983" s="65"/>
    </row>
    <row r="2984" spans="1:30" s="64" customFormat="1" ht="19.5" customHeight="1">
      <c r="A2984" s="307"/>
      <c r="B2984" s="293" t="s">
        <v>70</v>
      </c>
      <c r="C2984" s="307">
        <v>-1</v>
      </c>
      <c r="D2984" s="307">
        <v>1</v>
      </c>
      <c r="E2984" s="307">
        <v>10</v>
      </c>
      <c r="F2984" s="317">
        <v>0.75</v>
      </c>
      <c r="G2984" s="308"/>
      <c r="H2984" s="317">
        <v>0.1</v>
      </c>
      <c r="I2984" s="323">
        <f t="shared" si="136"/>
        <v>-0.75</v>
      </c>
      <c r="J2984" s="322"/>
      <c r="K2984" s="65"/>
      <c r="L2984" s="65"/>
      <c r="M2984" s="65"/>
      <c r="N2984" s="65"/>
      <c r="O2984" s="65"/>
      <c r="P2984" s="65"/>
      <c r="Q2984" s="65"/>
      <c r="R2984" s="65"/>
      <c r="S2984" s="65"/>
      <c r="T2984" s="65"/>
      <c r="U2984" s="65"/>
      <c r="V2984" s="65"/>
      <c r="W2984" s="65"/>
      <c r="X2984" s="65"/>
      <c r="Y2984" s="65"/>
      <c r="Z2984" s="65"/>
      <c r="AA2984" s="65"/>
      <c r="AB2984" s="65"/>
      <c r="AC2984" s="65"/>
      <c r="AD2984" s="65"/>
    </row>
    <row r="2985" spans="1:30" s="64" customFormat="1" ht="19.5" customHeight="1">
      <c r="A2985" s="307"/>
      <c r="B2985" s="319" t="s">
        <v>428</v>
      </c>
      <c r="C2985" s="307"/>
      <c r="D2985" s="307"/>
      <c r="E2985" s="307"/>
      <c r="F2985" s="317"/>
      <c r="G2985" s="308"/>
      <c r="H2985" s="317"/>
      <c r="I2985" s="323"/>
      <c r="J2985" s="322"/>
      <c r="K2985" s="65"/>
      <c r="L2985" s="65"/>
      <c r="M2985" s="65"/>
      <c r="N2985" s="65"/>
      <c r="O2985" s="65"/>
      <c r="P2985" s="65"/>
      <c r="Q2985" s="65"/>
      <c r="R2985" s="65"/>
      <c r="S2985" s="65"/>
      <c r="T2985" s="65"/>
      <c r="U2985" s="65"/>
      <c r="V2985" s="65"/>
      <c r="W2985" s="65"/>
      <c r="X2985" s="65"/>
      <c r="Y2985" s="65"/>
      <c r="Z2985" s="65"/>
      <c r="AA2985" s="65"/>
      <c r="AB2985" s="65"/>
      <c r="AC2985" s="65"/>
      <c r="AD2985" s="65"/>
    </row>
    <row r="2986" spans="1:30" s="64" customFormat="1" ht="19.5" customHeight="1">
      <c r="A2986" s="307"/>
      <c r="B2986" s="293" t="s">
        <v>414</v>
      </c>
      <c r="C2986" s="307">
        <v>1</v>
      </c>
      <c r="D2986" s="307">
        <v>1</v>
      </c>
      <c r="E2986" s="307">
        <v>10</v>
      </c>
      <c r="F2986" s="317">
        <v>3.5</v>
      </c>
      <c r="G2986" s="317">
        <v>3.35</v>
      </c>
      <c r="H2986" s="317"/>
      <c r="I2986" s="323">
        <f>PRODUCT(C2986:H2986)</f>
        <v>117.25</v>
      </c>
      <c r="J2986" s="322"/>
      <c r="K2986" s="65"/>
      <c r="L2986" s="65"/>
      <c r="M2986" s="65"/>
      <c r="N2986" s="65"/>
      <c r="O2986" s="65"/>
      <c r="P2986" s="65"/>
      <c r="Q2986" s="65"/>
      <c r="R2986" s="65"/>
      <c r="S2986" s="65"/>
      <c r="T2986" s="65"/>
      <c r="U2986" s="65"/>
      <c r="V2986" s="65"/>
      <c r="W2986" s="65"/>
      <c r="X2986" s="65"/>
      <c r="Y2986" s="65"/>
      <c r="Z2986" s="65"/>
      <c r="AA2986" s="65"/>
      <c r="AB2986" s="65"/>
      <c r="AC2986" s="65"/>
      <c r="AD2986" s="65"/>
    </row>
    <row r="2987" spans="1:30" s="64" customFormat="1" ht="19.5" customHeight="1">
      <c r="A2987" s="307"/>
      <c r="B2987" s="293" t="s">
        <v>427</v>
      </c>
      <c r="C2987" s="307">
        <v>1</v>
      </c>
      <c r="D2987" s="307">
        <v>1</v>
      </c>
      <c r="E2987" s="307">
        <v>10</v>
      </c>
      <c r="F2987" s="317">
        <v>0.9</v>
      </c>
      <c r="G2987" s="317">
        <v>0.1</v>
      </c>
      <c r="H2987" s="317"/>
      <c r="I2987" s="323">
        <f>PRODUCT(C2987:H2987)</f>
        <v>0.9</v>
      </c>
      <c r="J2987" s="322"/>
      <c r="K2987" s="65"/>
      <c r="L2987" s="65"/>
      <c r="M2987" s="65"/>
      <c r="N2987" s="65"/>
      <c r="O2987" s="65"/>
      <c r="P2987" s="65"/>
      <c r="Q2987" s="65"/>
      <c r="R2987" s="65"/>
      <c r="S2987" s="65"/>
      <c r="T2987" s="65"/>
      <c r="U2987" s="65"/>
      <c r="V2987" s="65"/>
      <c r="W2987" s="65"/>
      <c r="X2987" s="65"/>
      <c r="Y2987" s="65"/>
      <c r="Z2987" s="65"/>
      <c r="AA2987" s="65"/>
      <c r="AB2987" s="65"/>
      <c r="AC2987" s="65"/>
      <c r="AD2987" s="65"/>
    </row>
    <row r="2988" spans="1:30" s="64" customFormat="1" ht="19.5" customHeight="1">
      <c r="A2988" s="307"/>
      <c r="B2988" s="293" t="s">
        <v>417</v>
      </c>
      <c r="C2988" s="307">
        <v>1</v>
      </c>
      <c r="D2988" s="307">
        <v>1</v>
      </c>
      <c r="E2988" s="307">
        <v>10</v>
      </c>
      <c r="F2988" s="317">
        <v>13.7</v>
      </c>
      <c r="G2988" s="317"/>
      <c r="H2988" s="317">
        <v>0.1</v>
      </c>
      <c r="I2988" s="323">
        <f>PRODUCT(C2988:H2988)</f>
        <v>13.7</v>
      </c>
      <c r="J2988" s="322"/>
      <c r="K2988" s="65"/>
      <c r="L2988" s="65"/>
      <c r="M2988" s="65"/>
      <c r="N2988" s="65">
        <f>3.5+3.35+3.5+3.35</f>
        <v>13.7</v>
      </c>
      <c r="O2988" s="65"/>
      <c r="P2988" s="65"/>
      <c r="Q2988" s="65"/>
      <c r="R2988" s="65"/>
      <c r="S2988" s="65"/>
      <c r="T2988" s="65"/>
      <c r="U2988" s="65"/>
      <c r="V2988" s="65"/>
      <c r="W2988" s="65"/>
      <c r="X2988" s="65"/>
      <c r="Y2988" s="65"/>
      <c r="Z2988" s="65"/>
      <c r="AA2988" s="65"/>
      <c r="AB2988" s="65"/>
      <c r="AC2988" s="65"/>
      <c r="AD2988" s="65"/>
    </row>
    <row r="2989" spans="1:30" s="64" customFormat="1" ht="19.5" customHeight="1">
      <c r="A2989" s="307"/>
      <c r="B2989" s="293" t="s">
        <v>426</v>
      </c>
      <c r="C2989" s="307">
        <v>-1</v>
      </c>
      <c r="D2989" s="307">
        <v>1</v>
      </c>
      <c r="E2989" s="307">
        <v>10</v>
      </c>
      <c r="F2989" s="317">
        <v>0.9</v>
      </c>
      <c r="G2989" s="317"/>
      <c r="H2989" s="317">
        <v>0.1</v>
      </c>
      <c r="I2989" s="323">
        <f>PRODUCT(C2989:H2989)</f>
        <v>-0.9</v>
      </c>
      <c r="J2989" s="322"/>
      <c r="K2989" s="65"/>
      <c r="L2989" s="65"/>
      <c r="M2989" s="65"/>
      <c r="N2989" s="65"/>
      <c r="O2989" s="65"/>
      <c r="P2989" s="65"/>
      <c r="Q2989" s="65"/>
      <c r="R2989" s="65"/>
      <c r="S2989" s="65"/>
      <c r="T2989" s="65"/>
      <c r="U2989" s="65"/>
      <c r="V2989" s="65"/>
      <c r="W2989" s="65"/>
      <c r="X2989" s="65"/>
      <c r="Y2989" s="65"/>
      <c r="Z2989" s="65"/>
      <c r="AA2989" s="65"/>
      <c r="AB2989" s="65"/>
      <c r="AC2989" s="65"/>
      <c r="AD2989" s="65"/>
    </row>
    <row r="2990" spans="1:30" s="64" customFormat="1" ht="19.5" customHeight="1">
      <c r="A2990" s="307"/>
      <c r="B2990" s="293" t="s">
        <v>425</v>
      </c>
      <c r="C2990" s="307">
        <v>1</v>
      </c>
      <c r="D2990" s="307">
        <v>2</v>
      </c>
      <c r="E2990" s="307">
        <v>10</v>
      </c>
      <c r="F2990" s="317">
        <v>0.115</v>
      </c>
      <c r="G2990" s="317"/>
      <c r="H2990" s="317">
        <v>0.1</v>
      </c>
      <c r="I2990" s="323">
        <f>PRODUCT(C2990:H2990)</f>
        <v>0.23</v>
      </c>
      <c r="J2990" s="322"/>
      <c r="K2990" s="65"/>
      <c r="L2990" s="65"/>
      <c r="M2990" s="65"/>
      <c r="N2990" s="65"/>
      <c r="O2990" s="65"/>
      <c r="P2990" s="65"/>
      <c r="Q2990" s="65"/>
      <c r="R2990" s="65"/>
      <c r="S2990" s="65"/>
      <c r="T2990" s="65"/>
      <c r="U2990" s="65"/>
      <c r="V2990" s="65"/>
      <c r="W2990" s="65"/>
      <c r="X2990" s="65"/>
      <c r="Y2990" s="65"/>
      <c r="Z2990" s="65"/>
      <c r="AA2990" s="65"/>
      <c r="AB2990" s="65"/>
      <c r="AC2990" s="65"/>
      <c r="AD2990" s="65"/>
    </row>
    <row r="2991" spans="1:30" s="64" customFormat="1" ht="19.5" customHeight="1">
      <c r="A2991" s="307"/>
      <c r="B2991" s="319" t="s">
        <v>79</v>
      </c>
      <c r="C2991" s="307"/>
      <c r="D2991" s="307"/>
      <c r="E2991" s="307"/>
      <c r="F2991" s="317"/>
      <c r="G2991" s="317"/>
      <c r="H2991" s="317"/>
      <c r="I2991" s="323"/>
      <c r="J2991" s="322"/>
      <c r="K2991" s="65"/>
      <c r="L2991" s="65"/>
      <c r="M2991" s="65"/>
      <c r="N2991" s="65"/>
      <c r="O2991" s="65"/>
      <c r="P2991" s="65"/>
      <c r="Q2991" s="65"/>
      <c r="R2991" s="65"/>
      <c r="S2991" s="65"/>
      <c r="T2991" s="65"/>
      <c r="U2991" s="65"/>
      <c r="V2991" s="65"/>
      <c r="W2991" s="65"/>
      <c r="X2991" s="65"/>
      <c r="Y2991" s="65"/>
      <c r="Z2991" s="65"/>
      <c r="AA2991" s="65"/>
      <c r="AB2991" s="65"/>
      <c r="AC2991" s="65"/>
      <c r="AD2991" s="65"/>
    </row>
    <row r="2992" spans="1:30" s="64" customFormat="1" ht="19.5" customHeight="1">
      <c r="A2992" s="307"/>
      <c r="B2992" s="293" t="s">
        <v>414</v>
      </c>
      <c r="C2992" s="307">
        <v>1</v>
      </c>
      <c r="D2992" s="307">
        <v>1</v>
      </c>
      <c r="E2992" s="307">
        <v>10</v>
      </c>
      <c r="F2992" s="308">
        <v>2.8</v>
      </c>
      <c r="G2992" s="317">
        <v>2.4</v>
      </c>
      <c r="H2992" s="317"/>
      <c r="I2992" s="323">
        <f t="shared" ref="I2992:I2997" si="137">PRODUCT(C2992:H2992)</f>
        <v>67.2</v>
      </c>
      <c r="J2992" s="322"/>
      <c r="K2992" s="65"/>
      <c r="L2992" s="65"/>
      <c r="M2992" s="65"/>
      <c r="N2992" s="65"/>
      <c r="O2992" s="65"/>
      <c r="P2992" s="65"/>
      <c r="Q2992" s="65"/>
      <c r="R2992" s="65"/>
      <c r="S2992" s="65"/>
      <c r="T2992" s="65"/>
      <c r="U2992" s="65"/>
      <c r="V2992" s="65"/>
      <c r="W2992" s="65"/>
      <c r="X2992" s="65"/>
      <c r="Y2992" s="65"/>
      <c r="Z2992" s="65"/>
      <c r="AA2992" s="65"/>
      <c r="AB2992" s="65"/>
      <c r="AC2992" s="65"/>
      <c r="AD2992" s="65"/>
    </row>
    <row r="2993" spans="1:30" s="64" customFormat="1" ht="19.5" customHeight="1">
      <c r="A2993" s="307"/>
      <c r="B2993" s="293" t="s">
        <v>422</v>
      </c>
      <c r="C2993" s="307">
        <v>1</v>
      </c>
      <c r="D2993" s="307">
        <v>1</v>
      </c>
      <c r="E2993" s="307">
        <v>10</v>
      </c>
      <c r="F2993" s="308">
        <v>1</v>
      </c>
      <c r="G2993" s="317">
        <v>0.115</v>
      </c>
      <c r="H2993" s="317"/>
      <c r="I2993" s="323">
        <f t="shared" si="137"/>
        <v>1.1499999999999999</v>
      </c>
      <c r="J2993" s="322"/>
      <c r="K2993" s="65"/>
      <c r="L2993" s="65"/>
      <c r="M2993" s="65"/>
      <c r="N2993" s="65"/>
      <c r="O2993" s="65"/>
      <c r="P2993" s="65"/>
      <c r="Q2993" s="65"/>
      <c r="R2993" s="65"/>
      <c r="S2993" s="65"/>
      <c r="T2993" s="65"/>
      <c r="U2993" s="65"/>
      <c r="V2993" s="65"/>
      <c r="W2993" s="65"/>
      <c r="X2993" s="65"/>
      <c r="Y2993" s="65"/>
      <c r="Z2993" s="65"/>
      <c r="AA2993" s="65"/>
      <c r="AB2993" s="65"/>
      <c r="AC2993" s="65"/>
      <c r="AD2993" s="65"/>
    </row>
    <row r="2994" spans="1:30" s="64" customFormat="1" ht="19.5" customHeight="1">
      <c r="A2994" s="307"/>
      <c r="B2994" s="293" t="s">
        <v>417</v>
      </c>
      <c r="C2994" s="307">
        <v>1</v>
      </c>
      <c r="D2994" s="307">
        <v>1</v>
      </c>
      <c r="E2994" s="307">
        <v>10</v>
      </c>
      <c r="F2994" s="308">
        <v>10.4</v>
      </c>
      <c r="G2994" s="317"/>
      <c r="H2994" s="317">
        <v>0.1</v>
      </c>
      <c r="I2994" s="323">
        <f t="shared" si="137"/>
        <v>10.4</v>
      </c>
      <c r="J2994" s="322"/>
      <c r="K2994" s="65"/>
      <c r="L2994" s="65"/>
      <c r="M2994" s="65"/>
      <c r="N2994" s="65">
        <f>2.8+2.4+2.8+2.4</f>
        <v>10.4</v>
      </c>
      <c r="O2994" s="65"/>
      <c r="P2994" s="65"/>
      <c r="Q2994" s="65"/>
      <c r="R2994" s="65"/>
      <c r="S2994" s="65"/>
      <c r="T2994" s="65"/>
      <c r="U2994" s="65"/>
      <c r="V2994" s="65"/>
      <c r="W2994" s="65"/>
      <c r="X2994" s="65"/>
      <c r="Y2994" s="65"/>
      <c r="Z2994" s="65"/>
      <c r="AA2994" s="65"/>
      <c r="AB2994" s="65"/>
      <c r="AC2994" s="65"/>
      <c r="AD2994" s="65"/>
    </row>
    <row r="2995" spans="1:30" s="64" customFormat="1" ht="19.5" customHeight="1">
      <c r="A2995" s="307"/>
      <c r="B2995" s="293" t="s">
        <v>120</v>
      </c>
      <c r="C2995" s="307">
        <v>-1</v>
      </c>
      <c r="D2995" s="307">
        <v>1</v>
      </c>
      <c r="E2995" s="307">
        <v>10</v>
      </c>
      <c r="F2995" s="308">
        <v>1</v>
      </c>
      <c r="G2995" s="317"/>
      <c r="H2995" s="317">
        <v>0.1</v>
      </c>
      <c r="I2995" s="323">
        <f t="shared" si="137"/>
        <v>-1</v>
      </c>
      <c r="J2995" s="322"/>
      <c r="K2995" s="65"/>
      <c r="L2995" s="65"/>
      <c r="M2995" s="65"/>
      <c r="N2995" s="65"/>
      <c r="O2995" s="65"/>
      <c r="P2995" s="65"/>
      <c r="Q2995" s="65"/>
      <c r="R2995" s="65"/>
      <c r="S2995" s="65"/>
      <c r="T2995" s="65"/>
      <c r="U2995" s="65"/>
      <c r="V2995" s="65"/>
      <c r="W2995" s="65"/>
      <c r="X2995" s="65"/>
      <c r="Y2995" s="65"/>
      <c r="Z2995" s="65"/>
      <c r="AA2995" s="65"/>
      <c r="AB2995" s="65"/>
      <c r="AC2995" s="65"/>
      <c r="AD2995" s="65"/>
    </row>
    <row r="2996" spans="1:30" s="64" customFormat="1" ht="19.5" customHeight="1">
      <c r="A2996" s="307"/>
      <c r="B2996" s="293" t="s">
        <v>416</v>
      </c>
      <c r="C2996" s="307">
        <v>1</v>
      </c>
      <c r="D2996" s="307">
        <v>2</v>
      </c>
      <c r="E2996" s="307">
        <v>10</v>
      </c>
      <c r="F2996" s="317">
        <v>0.115</v>
      </c>
      <c r="G2996" s="317"/>
      <c r="H2996" s="317">
        <v>0.1</v>
      </c>
      <c r="I2996" s="323">
        <f t="shared" si="137"/>
        <v>0.23</v>
      </c>
      <c r="J2996" s="322"/>
      <c r="K2996" s="65"/>
      <c r="L2996" s="65"/>
      <c r="M2996" s="65"/>
      <c r="N2996" s="65"/>
      <c r="O2996" s="65"/>
      <c r="P2996" s="65"/>
      <c r="Q2996" s="65"/>
      <c r="R2996" s="65"/>
      <c r="S2996" s="65"/>
      <c r="T2996" s="65"/>
      <c r="U2996" s="65"/>
      <c r="V2996" s="65"/>
      <c r="W2996" s="65"/>
      <c r="X2996" s="65"/>
      <c r="Y2996" s="65"/>
      <c r="Z2996" s="65"/>
      <c r="AA2996" s="65"/>
      <c r="AB2996" s="65"/>
      <c r="AC2996" s="65"/>
      <c r="AD2996" s="65"/>
    </row>
    <row r="2997" spans="1:30" s="64" customFormat="1" ht="19.5" customHeight="1">
      <c r="A2997" s="307"/>
      <c r="B2997" s="293" t="s">
        <v>358</v>
      </c>
      <c r="C2997" s="307">
        <v>-1</v>
      </c>
      <c r="D2997" s="307">
        <v>1</v>
      </c>
      <c r="E2997" s="307">
        <v>10</v>
      </c>
      <c r="F2997" s="317">
        <v>0.75</v>
      </c>
      <c r="G2997" s="317"/>
      <c r="H2997" s="317">
        <v>0.1</v>
      </c>
      <c r="I2997" s="323">
        <f t="shared" si="137"/>
        <v>-0.75</v>
      </c>
      <c r="J2997" s="322"/>
      <c r="K2997" s="65"/>
      <c r="L2997" s="65"/>
      <c r="M2997" s="65"/>
      <c r="N2997" s="65"/>
      <c r="O2997" s="65"/>
      <c r="P2997" s="65"/>
      <c r="Q2997" s="65"/>
      <c r="R2997" s="65"/>
      <c r="S2997" s="65"/>
      <c r="T2997" s="65"/>
      <c r="U2997" s="65"/>
      <c r="V2997" s="65"/>
      <c r="W2997" s="65"/>
      <c r="X2997" s="65"/>
      <c r="Y2997" s="65"/>
      <c r="Z2997" s="65"/>
      <c r="AA2997" s="65"/>
      <c r="AB2997" s="65"/>
      <c r="AC2997" s="65"/>
      <c r="AD2997" s="65"/>
    </row>
    <row r="2998" spans="1:30" s="64" customFormat="1" ht="19.5" customHeight="1">
      <c r="A2998" s="307"/>
      <c r="B2998" s="319" t="s">
        <v>424</v>
      </c>
      <c r="C2998" s="307"/>
      <c r="D2998" s="307"/>
      <c r="E2998" s="307"/>
      <c r="F2998" s="317"/>
      <c r="G2998" s="317"/>
      <c r="H2998" s="317"/>
      <c r="I2998" s="323"/>
      <c r="J2998" s="322"/>
      <c r="K2998" s="65"/>
      <c r="L2998" s="65"/>
      <c r="M2998" s="65"/>
      <c r="N2998" s="65"/>
      <c r="O2998" s="65"/>
      <c r="P2998" s="65"/>
      <c r="Q2998" s="65"/>
      <c r="R2998" s="65"/>
      <c r="S2998" s="65"/>
      <c r="T2998" s="65"/>
      <c r="U2998" s="65"/>
      <c r="V2998" s="65"/>
      <c r="W2998" s="65"/>
      <c r="X2998" s="65"/>
      <c r="Y2998" s="65"/>
      <c r="Z2998" s="65"/>
      <c r="AA2998" s="65"/>
      <c r="AB2998" s="65"/>
      <c r="AC2998" s="65"/>
      <c r="AD2998" s="65"/>
    </row>
    <row r="2999" spans="1:30" s="64" customFormat="1" ht="19.5" customHeight="1">
      <c r="A2999" s="307"/>
      <c r="B2999" s="293" t="s">
        <v>423</v>
      </c>
      <c r="C2999" s="307">
        <v>1</v>
      </c>
      <c r="D2999" s="307">
        <v>1</v>
      </c>
      <c r="E2999" s="307">
        <v>10</v>
      </c>
      <c r="F2999" s="317">
        <v>1.4</v>
      </c>
      <c r="G2999" s="317">
        <v>1.2</v>
      </c>
      <c r="H2999" s="317"/>
      <c r="I2999" s="323">
        <f t="shared" ref="I2999:I3005" si="138">PRODUCT(C2999:H2999)</f>
        <v>16.8</v>
      </c>
      <c r="J2999" s="322"/>
      <c r="K2999" s="65"/>
      <c r="L2999" s="65"/>
      <c r="M2999" s="65"/>
      <c r="N2999" s="65"/>
      <c r="O2999" s="65"/>
      <c r="P2999" s="65"/>
      <c r="Q2999" s="65"/>
      <c r="R2999" s="65"/>
      <c r="S2999" s="65"/>
      <c r="T2999" s="65"/>
      <c r="U2999" s="65"/>
      <c r="V2999" s="65"/>
      <c r="W2999" s="65"/>
      <c r="X2999" s="65"/>
      <c r="Y2999" s="65"/>
      <c r="Z2999" s="65"/>
      <c r="AA2999" s="65"/>
      <c r="AB2999" s="65"/>
      <c r="AC2999" s="65"/>
      <c r="AD2999" s="65"/>
    </row>
    <row r="3000" spans="1:30" s="64" customFormat="1" ht="19.5" customHeight="1">
      <c r="A3000" s="307"/>
      <c r="B3000" s="293" t="s">
        <v>422</v>
      </c>
      <c r="C3000" s="307">
        <v>1</v>
      </c>
      <c r="D3000" s="307">
        <v>1</v>
      </c>
      <c r="E3000" s="307">
        <v>10</v>
      </c>
      <c r="F3000" s="317">
        <v>1.2</v>
      </c>
      <c r="G3000" s="317">
        <v>0.23</v>
      </c>
      <c r="H3000" s="317"/>
      <c r="I3000" s="323">
        <f t="shared" si="138"/>
        <v>2.76</v>
      </c>
      <c r="J3000" s="322"/>
      <c r="K3000" s="65"/>
      <c r="L3000" s="65"/>
      <c r="M3000" s="65"/>
      <c r="N3000" s="65"/>
      <c r="O3000" s="65"/>
      <c r="P3000" s="65"/>
      <c r="Q3000" s="65"/>
      <c r="R3000" s="65"/>
      <c r="S3000" s="65"/>
      <c r="T3000" s="65"/>
      <c r="U3000" s="65"/>
      <c r="V3000" s="65"/>
      <c r="W3000" s="65"/>
      <c r="X3000" s="65"/>
      <c r="Y3000" s="65"/>
      <c r="Z3000" s="65"/>
      <c r="AA3000" s="65"/>
      <c r="AB3000" s="65"/>
      <c r="AC3000" s="65"/>
      <c r="AD3000" s="65"/>
    </row>
    <row r="3001" spans="1:30" s="64" customFormat="1" ht="19.5" customHeight="1">
      <c r="A3001" s="307"/>
      <c r="B3001" s="293" t="s">
        <v>417</v>
      </c>
      <c r="C3001" s="307">
        <v>1</v>
      </c>
      <c r="D3001" s="307">
        <v>1</v>
      </c>
      <c r="E3001" s="307">
        <v>10</v>
      </c>
      <c r="F3001" s="317">
        <v>5.2</v>
      </c>
      <c r="G3001" s="317"/>
      <c r="H3001" s="317">
        <v>0.1</v>
      </c>
      <c r="I3001" s="323">
        <f t="shared" si="138"/>
        <v>5.2</v>
      </c>
      <c r="J3001" s="322"/>
      <c r="K3001" s="65"/>
      <c r="L3001" s="65"/>
      <c r="M3001" s="65"/>
      <c r="N3001" s="65">
        <f>1.4+1.2+1.4+1.2</f>
        <v>5.2</v>
      </c>
      <c r="O3001" s="65"/>
      <c r="P3001" s="65"/>
      <c r="Q3001" s="65"/>
      <c r="R3001" s="65"/>
      <c r="S3001" s="65"/>
      <c r="T3001" s="65"/>
      <c r="U3001" s="65"/>
      <c r="V3001" s="65"/>
      <c r="W3001" s="65"/>
      <c r="X3001" s="65"/>
      <c r="Y3001" s="65"/>
      <c r="Z3001" s="65"/>
      <c r="AA3001" s="65"/>
      <c r="AB3001" s="65"/>
      <c r="AC3001" s="65"/>
      <c r="AD3001" s="65"/>
    </row>
    <row r="3002" spans="1:30" s="64" customFormat="1" ht="19.5" customHeight="1">
      <c r="A3002" s="307"/>
      <c r="B3002" s="293" t="s">
        <v>421</v>
      </c>
      <c r="C3002" s="307">
        <v>-1</v>
      </c>
      <c r="D3002" s="307">
        <v>1</v>
      </c>
      <c r="E3002" s="307">
        <v>10</v>
      </c>
      <c r="F3002" s="317">
        <v>1</v>
      </c>
      <c r="G3002" s="317"/>
      <c r="H3002" s="317">
        <v>0.1</v>
      </c>
      <c r="I3002" s="323">
        <f t="shared" si="138"/>
        <v>-1</v>
      </c>
      <c r="J3002" s="322"/>
      <c r="K3002" s="65"/>
      <c r="L3002" s="65"/>
      <c r="M3002" s="65"/>
      <c r="N3002" s="65"/>
      <c r="O3002" s="65"/>
      <c r="P3002" s="65"/>
      <c r="Q3002" s="65"/>
      <c r="R3002" s="65"/>
      <c r="S3002" s="65"/>
      <c r="T3002" s="65"/>
      <c r="U3002" s="65"/>
      <c r="V3002" s="65"/>
      <c r="W3002" s="65"/>
      <c r="X3002" s="65"/>
      <c r="Y3002" s="65"/>
      <c r="Z3002" s="65"/>
      <c r="AA3002" s="65"/>
      <c r="AB3002" s="65"/>
      <c r="AC3002" s="65"/>
      <c r="AD3002" s="65"/>
    </row>
    <row r="3003" spans="1:30" s="64" customFormat="1" ht="19.5" customHeight="1">
      <c r="A3003" s="307"/>
      <c r="B3003" s="293" t="s">
        <v>138</v>
      </c>
      <c r="C3003" s="307">
        <v>-1</v>
      </c>
      <c r="D3003" s="307">
        <v>1</v>
      </c>
      <c r="E3003" s="307">
        <v>10</v>
      </c>
      <c r="F3003" s="317">
        <v>1.2</v>
      </c>
      <c r="G3003" s="317"/>
      <c r="H3003" s="317">
        <v>0.1</v>
      </c>
      <c r="I3003" s="323">
        <f t="shared" si="138"/>
        <v>-1.2</v>
      </c>
      <c r="J3003" s="322"/>
      <c r="K3003" s="65"/>
      <c r="L3003" s="65"/>
      <c r="M3003" s="65"/>
      <c r="N3003" s="65"/>
      <c r="O3003" s="65"/>
      <c r="P3003" s="65"/>
      <c r="Q3003" s="65"/>
      <c r="R3003" s="65"/>
      <c r="S3003" s="65"/>
      <c r="T3003" s="65"/>
      <c r="U3003" s="65"/>
      <c r="V3003" s="65"/>
      <c r="W3003" s="65"/>
      <c r="X3003" s="65"/>
      <c r="Y3003" s="65"/>
      <c r="Z3003" s="65"/>
      <c r="AA3003" s="65"/>
      <c r="AB3003" s="65"/>
      <c r="AC3003" s="65"/>
      <c r="AD3003" s="65"/>
    </row>
    <row r="3004" spans="1:30" s="64" customFormat="1" ht="19.5" customHeight="1">
      <c r="A3004" s="307"/>
      <c r="B3004" s="293" t="s">
        <v>420</v>
      </c>
      <c r="C3004" s="307">
        <v>-1</v>
      </c>
      <c r="D3004" s="307">
        <v>2</v>
      </c>
      <c r="E3004" s="307">
        <v>10</v>
      </c>
      <c r="F3004" s="317">
        <v>0.23</v>
      </c>
      <c r="G3004" s="317"/>
      <c r="H3004" s="317">
        <v>0.1</v>
      </c>
      <c r="I3004" s="323">
        <f t="shared" si="138"/>
        <v>-0.46</v>
      </c>
      <c r="J3004" s="322"/>
      <c r="K3004" s="65"/>
      <c r="L3004" s="65"/>
      <c r="M3004" s="65"/>
      <c r="N3004" s="65"/>
      <c r="O3004" s="65"/>
      <c r="P3004" s="65"/>
      <c r="Q3004" s="65"/>
      <c r="R3004" s="65"/>
      <c r="S3004" s="65"/>
      <c r="T3004" s="65"/>
      <c r="U3004" s="65"/>
      <c r="V3004" s="65"/>
      <c r="W3004" s="65"/>
      <c r="X3004" s="65"/>
      <c r="Y3004" s="65"/>
      <c r="Z3004" s="65"/>
      <c r="AA3004" s="65"/>
      <c r="AB3004" s="65"/>
      <c r="AC3004" s="65"/>
      <c r="AD3004" s="65"/>
    </row>
    <row r="3005" spans="1:30" s="64" customFormat="1" ht="19.5" customHeight="1">
      <c r="A3005" s="307"/>
      <c r="B3005" s="293" t="s">
        <v>70</v>
      </c>
      <c r="C3005" s="307">
        <v>-1</v>
      </c>
      <c r="D3005" s="307">
        <v>1</v>
      </c>
      <c r="E3005" s="307">
        <v>1</v>
      </c>
      <c r="F3005" s="317">
        <v>0.75</v>
      </c>
      <c r="G3005" s="317"/>
      <c r="H3005" s="317">
        <v>0.1</v>
      </c>
      <c r="I3005" s="323">
        <f t="shared" si="138"/>
        <v>-0.08</v>
      </c>
      <c r="J3005" s="322"/>
      <c r="K3005" s="65"/>
      <c r="L3005" s="65"/>
      <c r="M3005" s="65"/>
      <c r="N3005" s="65"/>
      <c r="O3005" s="65"/>
      <c r="P3005" s="65"/>
      <c r="Q3005" s="65"/>
      <c r="R3005" s="65"/>
      <c r="S3005" s="65"/>
      <c r="T3005" s="65"/>
      <c r="U3005" s="65"/>
      <c r="V3005" s="65"/>
      <c r="W3005" s="65"/>
      <c r="X3005" s="65"/>
      <c r="Y3005" s="65"/>
      <c r="Z3005" s="65"/>
      <c r="AA3005" s="65"/>
      <c r="AB3005" s="65"/>
      <c r="AC3005" s="65"/>
      <c r="AD3005" s="65"/>
    </row>
    <row r="3006" spans="1:30" s="64" customFormat="1" ht="19.5" customHeight="1">
      <c r="A3006" s="307"/>
      <c r="B3006" s="319" t="s">
        <v>419</v>
      </c>
      <c r="C3006" s="307"/>
      <c r="D3006" s="307"/>
      <c r="E3006" s="307"/>
      <c r="F3006" s="317"/>
      <c r="G3006" s="317"/>
      <c r="H3006" s="317"/>
      <c r="I3006" s="323"/>
      <c r="J3006" s="322"/>
      <c r="K3006" s="65"/>
      <c r="L3006" s="65"/>
      <c r="M3006" s="65"/>
      <c r="N3006" s="65"/>
      <c r="O3006" s="65"/>
      <c r="P3006" s="65"/>
      <c r="Q3006" s="65"/>
      <c r="R3006" s="65"/>
      <c r="S3006" s="65"/>
      <c r="T3006" s="65"/>
      <c r="U3006" s="65"/>
      <c r="V3006" s="65"/>
      <c r="W3006" s="65"/>
      <c r="X3006" s="65"/>
      <c r="Y3006" s="65"/>
      <c r="Z3006" s="65"/>
      <c r="AA3006" s="65"/>
      <c r="AB3006" s="65"/>
      <c r="AC3006" s="65"/>
      <c r="AD3006" s="65"/>
    </row>
    <row r="3007" spans="1:30" s="64" customFormat="1" ht="19.5" customHeight="1">
      <c r="A3007" s="307"/>
      <c r="B3007" s="293" t="s">
        <v>414</v>
      </c>
      <c r="C3007" s="307">
        <v>1</v>
      </c>
      <c r="D3007" s="307">
        <v>1</v>
      </c>
      <c r="E3007" s="307">
        <v>10</v>
      </c>
      <c r="F3007" s="317">
        <v>1.1000000000000001</v>
      </c>
      <c r="G3007" s="317">
        <v>2.8</v>
      </c>
      <c r="H3007" s="317"/>
      <c r="I3007" s="323">
        <f>PRODUCT(C3007:H3007)</f>
        <v>30.8</v>
      </c>
      <c r="J3007" s="322"/>
      <c r="K3007" s="65"/>
      <c r="L3007" s="65"/>
      <c r="M3007" s="65"/>
      <c r="N3007" s="65"/>
      <c r="O3007" s="65"/>
      <c r="P3007" s="65"/>
      <c r="Q3007" s="65"/>
      <c r="R3007" s="65"/>
      <c r="S3007" s="65"/>
      <c r="T3007" s="65"/>
      <c r="U3007" s="65"/>
      <c r="V3007" s="65"/>
      <c r="W3007" s="65"/>
      <c r="X3007" s="65"/>
      <c r="Y3007" s="65"/>
      <c r="Z3007" s="65"/>
      <c r="AA3007" s="65"/>
      <c r="AB3007" s="65"/>
      <c r="AC3007" s="65"/>
      <c r="AD3007" s="65"/>
    </row>
    <row r="3008" spans="1:30" s="64" customFormat="1" ht="19.5" customHeight="1">
      <c r="A3008" s="307"/>
      <c r="B3008" s="293" t="s">
        <v>418</v>
      </c>
      <c r="C3008" s="307">
        <v>1</v>
      </c>
      <c r="D3008" s="307">
        <v>1</v>
      </c>
      <c r="E3008" s="307">
        <v>10</v>
      </c>
      <c r="F3008" s="317">
        <v>0.75</v>
      </c>
      <c r="G3008" s="317">
        <v>0.115</v>
      </c>
      <c r="H3008" s="317"/>
      <c r="I3008" s="323">
        <f>PRODUCT(C3008:H3008)</f>
        <v>0.86</v>
      </c>
      <c r="J3008" s="322"/>
      <c r="K3008" s="65"/>
      <c r="L3008" s="65"/>
      <c r="M3008" s="65"/>
      <c r="N3008" s="65"/>
      <c r="O3008" s="65"/>
      <c r="P3008" s="65"/>
      <c r="Q3008" s="65"/>
      <c r="R3008" s="65"/>
      <c r="S3008" s="65"/>
      <c r="T3008" s="65"/>
      <c r="U3008" s="65"/>
      <c r="V3008" s="65"/>
      <c r="W3008" s="65"/>
      <c r="X3008" s="65"/>
      <c r="Y3008" s="65"/>
      <c r="Z3008" s="65"/>
      <c r="AA3008" s="65"/>
      <c r="AB3008" s="65"/>
      <c r="AC3008" s="65"/>
      <c r="AD3008" s="65"/>
    </row>
    <row r="3009" spans="1:30" s="64" customFormat="1" ht="19.5" customHeight="1">
      <c r="A3009" s="307"/>
      <c r="B3009" s="293" t="s">
        <v>417</v>
      </c>
      <c r="C3009" s="307">
        <v>1</v>
      </c>
      <c r="D3009" s="307">
        <v>1</v>
      </c>
      <c r="E3009" s="307">
        <v>10</v>
      </c>
      <c r="F3009" s="317">
        <v>7.8</v>
      </c>
      <c r="G3009" s="317"/>
      <c r="H3009" s="317">
        <v>0.1</v>
      </c>
      <c r="I3009" s="323">
        <f>PRODUCT(C3009:H3009)</f>
        <v>7.8</v>
      </c>
      <c r="J3009" s="322"/>
      <c r="K3009" s="65"/>
      <c r="L3009" s="65"/>
      <c r="M3009" s="65"/>
      <c r="N3009" s="65">
        <f>1.1+2.8+1.1+2.8</f>
        <v>7.8</v>
      </c>
      <c r="O3009" s="65"/>
      <c r="P3009" s="65"/>
      <c r="Q3009" s="65"/>
      <c r="R3009" s="65"/>
      <c r="S3009" s="65"/>
      <c r="T3009" s="65"/>
      <c r="U3009" s="65"/>
      <c r="V3009" s="65"/>
      <c r="W3009" s="65"/>
      <c r="X3009" s="65"/>
      <c r="Y3009" s="65"/>
      <c r="Z3009" s="65"/>
      <c r="AA3009" s="65"/>
      <c r="AB3009" s="65"/>
      <c r="AC3009" s="65"/>
      <c r="AD3009" s="65"/>
    </row>
    <row r="3010" spans="1:30" s="64" customFormat="1" ht="19.5" customHeight="1">
      <c r="A3010" s="307"/>
      <c r="B3010" s="293" t="s">
        <v>358</v>
      </c>
      <c r="C3010" s="307">
        <v>-1</v>
      </c>
      <c r="D3010" s="307">
        <v>1</v>
      </c>
      <c r="E3010" s="307">
        <v>10</v>
      </c>
      <c r="F3010" s="317">
        <v>0.75</v>
      </c>
      <c r="G3010" s="317"/>
      <c r="H3010" s="317">
        <v>0.1</v>
      </c>
      <c r="I3010" s="323">
        <f>PRODUCT(C3010:H3010)</f>
        <v>-0.75</v>
      </c>
      <c r="J3010" s="322"/>
      <c r="K3010" s="65"/>
      <c r="L3010" s="65"/>
      <c r="M3010" s="65"/>
      <c r="N3010" s="65"/>
      <c r="O3010" s="65"/>
      <c r="P3010" s="65"/>
      <c r="Q3010" s="65"/>
      <c r="R3010" s="65"/>
      <c r="S3010" s="65"/>
      <c r="T3010" s="65"/>
      <c r="U3010" s="65"/>
      <c r="V3010" s="65"/>
      <c r="W3010" s="65"/>
      <c r="X3010" s="65"/>
      <c r="Y3010" s="65"/>
      <c r="Z3010" s="65"/>
      <c r="AA3010" s="65"/>
      <c r="AB3010" s="65"/>
      <c r="AC3010" s="65"/>
      <c r="AD3010" s="65"/>
    </row>
    <row r="3011" spans="1:30" s="64" customFormat="1" ht="19.5" customHeight="1">
      <c r="A3011" s="307"/>
      <c r="B3011" s="293" t="s">
        <v>416</v>
      </c>
      <c r="C3011" s="307">
        <v>1</v>
      </c>
      <c r="D3011" s="307">
        <v>2</v>
      </c>
      <c r="E3011" s="307">
        <v>10</v>
      </c>
      <c r="F3011" s="317">
        <v>0.115</v>
      </c>
      <c r="G3011" s="317"/>
      <c r="H3011" s="317">
        <v>0.1</v>
      </c>
      <c r="I3011" s="323">
        <f>PRODUCT(C3011:H3011)</f>
        <v>0.23</v>
      </c>
      <c r="J3011" s="322"/>
      <c r="K3011" s="65"/>
      <c r="L3011" s="65"/>
      <c r="M3011" s="65"/>
      <c r="N3011" s="65"/>
      <c r="O3011" s="65"/>
      <c r="P3011" s="65"/>
      <c r="Q3011" s="65"/>
      <c r="R3011" s="65"/>
      <c r="S3011" s="65"/>
      <c r="T3011" s="65"/>
      <c r="U3011" s="65"/>
      <c r="V3011" s="65"/>
      <c r="W3011" s="65"/>
      <c r="X3011" s="65"/>
      <c r="Y3011" s="65"/>
      <c r="Z3011" s="65"/>
      <c r="AA3011" s="65"/>
      <c r="AB3011" s="65"/>
      <c r="AC3011" s="65"/>
      <c r="AD3011" s="65"/>
    </row>
    <row r="3012" spans="1:30" s="64" customFormat="1" ht="19.5" customHeight="1">
      <c r="A3012" s="307"/>
      <c r="B3012" s="319" t="s">
        <v>415</v>
      </c>
      <c r="C3012" s="307"/>
      <c r="D3012" s="307"/>
      <c r="E3012" s="307"/>
      <c r="F3012" s="317"/>
      <c r="G3012" s="317"/>
      <c r="H3012" s="317"/>
      <c r="I3012" s="323"/>
      <c r="J3012" s="322"/>
      <c r="K3012" s="65"/>
      <c r="L3012" s="65"/>
      <c r="M3012" s="65"/>
      <c r="N3012" s="65"/>
      <c r="O3012" s="65"/>
      <c r="P3012" s="65"/>
      <c r="Q3012" s="65"/>
      <c r="R3012" s="65"/>
      <c r="S3012" s="65"/>
      <c r="T3012" s="65"/>
      <c r="U3012" s="65"/>
      <c r="V3012" s="65"/>
      <c r="W3012" s="65"/>
      <c r="X3012" s="65"/>
      <c r="Y3012" s="65"/>
      <c r="Z3012" s="65"/>
      <c r="AA3012" s="65"/>
      <c r="AB3012" s="65"/>
      <c r="AC3012" s="65"/>
      <c r="AD3012" s="65"/>
    </row>
    <row r="3013" spans="1:30" s="64" customFormat="1" ht="19.5" customHeight="1">
      <c r="A3013" s="307"/>
      <c r="B3013" s="293" t="s">
        <v>414</v>
      </c>
      <c r="C3013" s="307">
        <v>1</v>
      </c>
      <c r="D3013" s="307">
        <v>1</v>
      </c>
      <c r="E3013" s="307">
        <v>10</v>
      </c>
      <c r="F3013" s="317">
        <v>1.615</v>
      </c>
      <c r="G3013" s="317">
        <v>2.0150000000000001</v>
      </c>
      <c r="H3013" s="317"/>
      <c r="I3013" s="323">
        <f t="shared" ref="I3013:I3018" si="139">PRODUCT(C3013:H3013)</f>
        <v>32.54</v>
      </c>
      <c r="J3013" s="322"/>
      <c r="K3013" s="65"/>
      <c r="L3013" s="65"/>
      <c r="M3013" s="65"/>
      <c r="N3013" s="65"/>
      <c r="O3013" s="65"/>
      <c r="P3013" s="65"/>
      <c r="Q3013" s="65"/>
      <c r="R3013" s="65"/>
      <c r="S3013" s="65"/>
      <c r="T3013" s="65"/>
      <c r="U3013" s="65"/>
      <c r="V3013" s="65"/>
      <c r="W3013" s="65"/>
      <c r="X3013" s="65"/>
      <c r="Y3013" s="65"/>
      <c r="Z3013" s="65"/>
      <c r="AA3013" s="65"/>
      <c r="AB3013" s="65"/>
      <c r="AC3013" s="65"/>
      <c r="AD3013" s="65"/>
    </row>
    <row r="3014" spans="1:30" s="64" customFormat="1" ht="19.5" customHeight="1">
      <c r="A3014" s="307"/>
      <c r="B3014" s="293" t="s">
        <v>413</v>
      </c>
      <c r="C3014" s="307">
        <v>1</v>
      </c>
      <c r="D3014" s="307">
        <v>1</v>
      </c>
      <c r="E3014" s="307">
        <v>10</v>
      </c>
      <c r="F3014" s="317">
        <v>1</v>
      </c>
      <c r="G3014" s="308">
        <v>0.23</v>
      </c>
      <c r="H3014" s="317"/>
      <c r="I3014" s="323">
        <f t="shared" si="139"/>
        <v>2.2999999999999998</v>
      </c>
      <c r="J3014" s="322"/>
      <c r="K3014" s="65"/>
      <c r="L3014" s="65"/>
      <c r="M3014" s="65"/>
      <c r="N3014" s="65"/>
      <c r="O3014" s="65"/>
      <c r="P3014" s="65"/>
      <c r="Q3014" s="65"/>
      <c r="R3014" s="65"/>
      <c r="S3014" s="65"/>
      <c r="T3014" s="65"/>
      <c r="U3014" s="65"/>
      <c r="V3014" s="65"/>
      <c r="W3014" s="65"/>
      <c r="X3014" s="65"/>
      <c r="Y3014" s="65"/>
      <c r="Z3014" s="65"/>
      <c r="AA3014" s="65"/>
      <c r="AB3014" s="65"/>
      <c r="AC3014" s="65"/>
      <c r="AD3014" s="65"/>
    </row>
    <row r="3015" spans="1:30" s="64" customFormat="1" ht="19.5" customHeight="1">
      <c r="A3015" s="307"/>
      <c r="B3015" s="293" t="s">
        <v>412</v>
      </c>
      <c r="C3015" s="307">
        <v>1</v>
      </c>
      <c r="D3015" s="307">
        <v>1</v>
      </c>
      <c r="E3015" s="307">
        <v>10</v>
      </c>
      <c r="F3015" s="317">
        <v>7.26</v>
      </c>
      <c r="G3015" s="317"/>
      <c r="H3015" s="317">
        <v>0.1</v>
      </c>
      <c r="I3015" s="323">
        <f t="shared" si="139"/>
        <v>7.26</v>
      </c>
      <c r="J3015" s="322"/>
      <c r="K3015" s="65"/>
      <c r="L3015" s="65"/>
      <c r="M3015" s="65"/>
      <c r="N3015" s="65">
        <f>1.615+2.015+1.615+2.015</f>
        <v>7.26</v>
      </c>
      <c r="O3015" s="65"/>
      <c r="P3015" s="65"/>
      <c r="Q3015" s="65"/>
      <c r="R3015" s="65"/>
      <c r="S3015" s="65"/>
      <c r="T3015" s="65"/>
      <c r="U3015" s="65"/>
      <c r="V3015" s="65"/>
      <c r="W3015" s="65"/>
      <c r="X3015" s="65"/>
      <c r="Y3015" s="65"/>
      <c r="Z3015" s="65"/>
      <c r="AA3015" s="65"/>
      <c r="AB3015" s="65"/>
      <c r="AC3015" s="65"/>
      <c r="AD3015" s="65"/>
    </row>
    <row r="3016" spans="1:30" s="64" customFormat="1" ht="19.5" customHeight="1">
      <c r="A3016" s="307"/>
      <c r="B3016" s="293" t="s">
        <v>94</v>
      </c>
      <c r="C3016" s="307">
        <v>-1</v>
      </c>
      <c r="D3016" s="307">
        <v>1</v>
      </c>
      <c r="E3016" s="307">
        <v>10</v>
      </c>
      <c r="F3016" s="317">
        <v>1</v>
      </c>
      <c r="G3016" s="317"/>
      <c r="H3016" s="317">
        <v>0.1</v>
      </c>
      <c r="I3016" s="323">
        <f t="shared" si="139"/>
        <v>-1</v>
      </c>
      <c r="J3016" s="322"/>
      <c r="K3016" s="65"/>
      <c r="L3016" s="65"/>
      <c r="M3016" s="65"/>
      <c r="N3016" s="65"/>
      <c r="O3016" s="65"/>
      <c r="P3016" s="65"/>
      <c r="Q3016" s="65"/>
      <c r="R3016" s="65"/>
      <c r="S3016" s="65"/>
      <c r="T3016" s="65"/>
      <c r="U3016" s="65"/>
      <c r="V3016" s="65"/>
      <c r="W3016" s="65"/>
      <c r="X3016" s="65"/>
      <c r="Y3016" s="65"/>
      <c r="Z3016" s="65"/>
      <c r="AA3016" s="65"/>
      <c r="AB3016" s="65"/>
      <c r="AC3016" s="65"/>
      <c r="AD3016" s="65"/>
    </row>
    <row r="3017" spans="1:30" s="64" customFormat="1" ht="19.5" customHeight="1">
      <c r="A3017" s="307"/>
      <c r="B3017" s="293" t="s">
        <v>337</v>
      </c>
      <c r="C3017" s="307">
        <v>-1</v>
      </c>
      <c r="D3017" s="307">
        <v>1</v>
      </c>
      <c r="E3017" s="307">
        <v>10</v>
      </c>
      <c r="F3017" s="317">
        <v>1</v>
      </c>
      <c r="G3017" s="317"/>
      <c r="H3017" s="317">
        <v>0.1</v>
      </c>
      <c r="I3017" s="323">
        <f t="shared" si="139"/>
        <v>-1</v>
      </c>
      <c r="J3017" s="322"/>
      <c r="K3017" s="65"/>
      <c r="L3017" s="65"/>
      <c r="M3017" s="65"/>
      <c r="N3017" s="65"/>
      <c r="O3017" s="65"/>
      <c r="P3017" s="65"/>
      <c r="Q3017" s="65"/>
      <c r="R3017" s="65"/>
      <c r="S3017" s="65"/>
      <c r="T3017" s="65"/>
      <c r="U3017" s="65"/>
      <c r="V3017" s="65"/>
      <c r="W3017" s="65"/>
      <c r="X3017" s="65"/>
      <c r="Y3017" s="65"/>
      <c r="Z3017" s="65"/>
      <c r="AA3017" s="65"/>
      <c r="AB3017" s="65"/>
      <c r="AC3017" s="65"/>
      <c r="AD3017" s="65"/>
    </row>
    <row r="3018" spans="1:30" s="64" customFormat="1" ht="19.5" customHeight="1">
      <c r="A3018" s="307"/>
      <c r="B3018" s="293" t="s">
        <v>411</v>
      </c>
      <c r="C3018" s="307">
        <v>1</v>
      </c>
      <c r="D3018" s="307">
        <v>2</v>
      </c>
      <c r="E3018" s="307">
        <v>10</v>
      </c>
      <c r="F3018" s="317">
        <v>0.23</v>
      </c>
      <c r="G3018" s="317"/>
      <c r="H3018" s="317">
        <v>0.1</v>
      </c>
      <c r="I3018" s="323">
        <f t="shared" si="139"/>
        <v>0.46</v>
      </c>
      <c r="J3018" s="322"/>
      <c r="K3018" s="65"/>
      <c r="L3018" s="65"/>
      <c r="M3018" s="65"/>
      <c r="N3018" s="65"/>
      <c r="O3018" s="65"/>
      <c r="P3018" s="65"/>
      <c r="Q3018" s="65"/>
      <c r="R3018" s="65"/>
      <c r="S3018" s="65"/>
      <c r="T3018" s="65"/>
      <c r="U3018" s="65"/>
      <c r="V3018" s="65"/>
      <c r="W3018" s="65"/>
      <c r="X3018" s="65"/>
      <c r="Y3018" s="65"/>
      <c r="Z3018" s="65"/>
      <c r="AA3018" s="65"/>
      <c r="AB3018" s="65"/>
      <c r="AC3018" s="65"/>
      <c r="AD3018" s="65"/>
    </row>
    <row r="3019" spans="1:30" s="45" customFormat="1" ht="23.25" customHeight="1">
      <c r="A3019" s="278"/>
      <c r="B3019" s="279"/>
      <c r="C3019" s="280"/>
      <c r="D3019" s="280"/>
      <c r="E3019" s="280"/>
      <c r="F3019" s="282"/>
      <c r="G3019" s="415"/>
      <c r="H3019" s="415"/>
      <c r="I3019" s="339">
        <f>SUM(I2972:I3018)</f>
        <v>633.26</v>
      </c>
      <c r="J3019" s="287" t="s">
        <v>4</v>
      </c>
      <c r="K3019" s="42"/>
      <c r="L3019" s="42"/>
      <c r="M3019" s="42"/>
    </row>
    <row r="3020" spans="1:30" s="45" customFormat="1" ht="23.25" customHeight="1">
      <c r="A3020" s="278"/>
      <c r="B3020" s="286" t="s">
        <v>296</v>
      </c>
      <c r="C3020" s="280"/>
      <c r="D3020" s="280"/>
      <c r="E3020" s="280"/>
      <c r="F3020" s="282"/>
      <c r="G3020" s="415"/>
      <c r="H3020" s="415"/>
      <c r="I3020" s="416"/>
      <c r="J3020" s="278"/>
      <c r="K3020" s="46"/>
      <c r="L3020" s="46"/>
      <c r="M3020" s="46"/>
    </row>
    <row r="3021" spans="1:30" s="45" customFormat="1" ht="23.25" customHeight="1">
      <c r="A3021" s="278"/>
      <c r="B3021" s="286" t="s">
        <v>283</v>
      </c>
      <c r="C3021" s="280"/>
      <c r="D3021" s="280"/>
      <c r="E3021" s="280"/>
      <c r="F3021" s="282"/>
      <c r="G3021" s="415"/>
      <c r="H3021" s="415"/>
      <c r="I3021" s="416">
        <f>I3019</f>
        <v>633.26</v>
      </c>
      <c r="J3021" s="287" t="s">
        <v>4</v>
      </c>
      <c r="K3021" s="42"/>
      <c r="L3021" s="42"/>
      <c r="M3021" s="42"/>
    </row>
    <row r="3022" spans="1:30" s="45" customFormat="1" ht="23.25" customHeight="1">
      <c r="A3022" s="278"/>
      <c r="B3022" s="286" t="s">
        <v>295</v>
      </c>
      <c r="C3022" s="280"/>
      <c r="D3022" s="280"/>
      <c r="E3022" s="280"/>
      <c r="F3022" s="282"/>
      <c r="G3022" s="415"/>
      <c r="H3022" s="415"/>
      <c r="I3022" s="416"/>
      <c r="J3022" s="278"/>
      <c r="K3022" s="46"/>
      <c r="L3022" s="46"/>
      <c r="M3022" s="46"/>
    </row>
    <row r="3023" spans="1:30" s="45" customFormat="1" ht="23.25" customHeight="1">
      <c r="A3023" s="278"/>
      <c r="B3023" s="286" t="s">
        <v>283</v>
      </c>
      <c r="C3023" s="280"/>
      <c r="D3023" s="280"/>
      <c r="E3023" s="280"/>
      <c r="F3023" s="282"/>
      <c r="G3023" s="415"/>
      <c r="H3023" s="415"/>
      <c r="I3023" s="416">
        <f>I3021</f>
        <v>633.26</v>
      </c>
      <c r="J3023" s="287" t="s">
        <v>4</v>
      </c>
      <c r="K3023" s="42"/>
      <c r="L3023" s="42"/>
      <c r="M3023" s="42"/>
    </row>
    <row r="3024" spans="1:30" s="45" customFormat="1" ht="23.25" customHeight="1">
      <c r="A3024" s="278"/>
      <c r="B3024" s="286" t="s">
        <v>294</v>
      </c>
      <c r="C3024" s="280"/>
      <c r="D3024" s="280"/>
      <c r="E3024" s="280"/>
      <c r="F3024" s="282"/>
      <c r="G3024" s="415"/>
      <c r="H3024" s="415"/>
      <c r="I3024" s="416"/>
      <c r="J3024" s="278"/>
      <c r="K3024" s="46"/>
      <c r="L3024" s="46"/>
      <c r="M3024" s="46"/>
    </row>
    <row r="3025" spans="1:13" s="45" customFormat="1" ht="23.25" customHeight="1">
      <c r="A3025" s="278"/>
      <c r="B3025" s="286" t="s">
        <v>283</v>
      </c>
      <c r="C3025" s="280"/>
      <c r="D3025" s="280"/>
      <c r="E3025" s="280"/>
      <c r="F3025" s="282"/>
      <c r="G3025" s="415"/>
      <c r="H3025" s="415"/>
      <c r="I3025" s="416">
        <f>I3023</f>
        <v>633.26</v>
      </c>
      <c r="J3025" s="287" t="s">
        <v>4</v>
      </c>
      <c r="K3025" s="42"/>
      <c r="L3025" s="42"/>
      <c r="M3025" s="42"/>
    </row>
    <row r="3026" spans="1:13" s="45" customFormat="1" ht="23.25" customHeight="1">
      <c r="A3026" s="278"/>
      <c r="B3026" s="286" t="s">
        <v>293</v>
      </c>
      <c r="C3026" s="280"/>
      <c r="D3026" s="280"/>
      <c r="E3026" s="280"/>
      <c r="F3026" s="282"/>
      <c r="G3026" s="415"/>
      <c r="H3026" s="415"/>
      <c r="I3026" s="416"/>
      <c r="J3026" s="278"/>
      <c r="K3026" s="46"/>
      <c r="L3026" s="46"/>
      <c r="M3026" s="46"/>
    </row>
    <row r="3027" spans="1:13" s="45" customFormat="1" ht="23.25" customHeight="1">
      <c r="A3027" s="278"/>
      <c r="B3027" s="286" t="s">
        <v>283</v>
      </c>
      <c r="C3027" s="280"/>
      <c r="D3027" s="280"/>
      <c r="E3027" s="280"/>
      <c r="F3027" s="282"/>
      <c r="G3027" s="415"/>
      <c r="H3027" s="415"/>
      <c r="I3027" s="416">
        <f>I3025</f>
        <v>633.26</v>
      </c>
      <c r="J3027" s="287" t="s">
        <v>4</v>
      </c>
      <c r="K3027" s="42"/>
      <c r="L3027" s="42"/>
      <c r="M3027" s="42"/>
    </row>
    <row r="3028" spans="1:13" s="45" customFormat="1" ht="23.25" customHeight="1">
      <c r="A3028" s="278"/>
      <c r="B3028" s="286" t="s">
        <v>292</v>
      </c>
      <c r="C3028" s="280"/>
      <c r="D3028" s="280"/>
      <c r="E3028" s="280"/>
      <c r="F3028" s="282"/>
      <c r="G3028" s="415"/>
      <c r="H3028" s="415"/>
      <c r="I3028" s="416"/>
      <c r="J3028" s="278"/>
      <c r="K3028" s="46"/>
      <c r="L3028" s="46"/>
      <c r="M3028" s="46"/>
    </row>
    <row r="3029" spans="1:13" s="45" customFormat="1" ht="23.25" customHeight="1">
      <c r="A3029" s="278"/>
      <c r="B3029" s="286" t="s">
        <v>283</v>
      </c>
      <c r="C3029" s="280"/>
      <c r="D3029" s="280"/>
      <c r="E3029" s="280"/>
      <c r="F3029" s="282"/>
      <c r="G3029" s="415"/>
      <c r="H3029" s="415"/>
      <c r="I3029" s="416">
        <f>I3027</f>
        <v>633.26</v>
      </c>
      <c r="J3029" s="287" t="s">
        <v>4</v>
      </c>
      <c r="K3029" s="42"/>
      <c r="L3029" s="42"/>
      <c r="M3029" s="42"/>
    </row>
    <row r="3030" spans="1:13" s="45" customFormat="1" ht="23.25" customHeight="1">
      <c r="A3030" s="278"/>
      <c r="B3030" s="286" t="s">
        <v>291</v>
      </c>
      <c r="C3030" s="280"/>
      <c r="D3030" s="280"/>
      <c r="E3030" s="280"/>
      <c r="F3030" s="282"/>
      <c r="G3030" s="415"/>
      <c r="H3030" s="415"/>
      <c r="I3030" s="416"/>
      <c r="J3030" s="278"/>
      <c r="K3030" s="46"/>
      <c r="L3030" s="46"/>
      <c r="M3030" s="46"/>
    </row>
    <row r="3031" spans="1:13" s="45" customFormat="1" ht="23.25" customHeight="1">
      <c r="A3031" s="278"/>
      <c r="B3031" s="286" t="s">
        <v>283</v>
      </c>
      <c r="C3031" s="280"/>
      <c r="D3031" s="280"/>
      <c r="E3031" s="280"/>
      <c r="F3031" s="282"/>
      <c r="G3031" s="415"/>
      <c r="H3031" s="415"/>
      <c r="I3031" s="416">
        <f>I3029</f>
        <v>633.26</v>
      </c>
      <c r="J3031" s="287" t="s">
        <v>4</v>
      </c>
      <c r="K3031" s="42"/>
      <c r="L3031" s="42"/>
      <c r="M3031" s="42"/>
    </row>
    <row r="3032" spans="1:13" s="45" customFormat="1" ht="23.25" customHeight="1">
      <c r="A3032" s="278"/>
      <c r="B3032" s="286" t="s">
        <v>290</v>
      </c>
      <c r="C3032" s="280"/>
      <c r="D3032" s="280"/>
      <c r="E3032" s="280"/>
      <c r="F3032" s="282"/>
      <c r="G3032" s="415"/>
      <c r="H3032" s="415"/>
      <c r="I3032" s="416"/>
      <c r="J3032" s="278"/>
      <c r="K3032" s="46"/>
      <c r="L3032" s="46"/>
      <c r="M3032" s="46"/>
    </row>
    <row r="3033" spans="1:13" s="45" customFormat="1" ht="23.25" customHeight="1">
      <c r="A3033" s="278"/>
      <c r="B3033" s="286" t="s">
        <v>283</v>
      </c>
      <c r="C3033" s="280"/>
      <c r="D3033" s="280"/>
      <c r="E3033" s="280"/>
      <c r="F3033" s="282"/>
      <c r="G3033" s="415"/>
      <c r="H3033" s="415"/>
      <c r="I3033" s="416">
        <f>I3031</f>
        <v>633.26</v>
      </c>
      <c r="J3033" s="287" t="s">
        <v>4</v>
      </c>
      <c r="K3033" s="42"/>
      <c r="L3033" s="42"/>
      <c r="M3033" s="42"/>
    </row>
    <row r="3034" spans="1:13" s="45" customFormat="1" ht="23.25" customHeight="1">
      <c r="A3034" s="278"/>
      <c r="B3034" s="286" t="s">
        <v>289</v>
      </c>
      <c r="C3034" s="280"/>
      <c r="D3034" s="280"/>
      <c r="E3034" s="280"/>
      <c r="F3034" s="282"/>
      <c r="G3034" s="415"/>
      <c r="H3034" s="415"/>
      <c r="I3034" s="416"/>
      <c r="J3034" s="278"/>
      <c r="K3034" s="46"/>
      <c r="L3034" s="46"/>
      <c r="M3034" s="46"/>
    </row>
    <row r="3035" spans="1:13" s="45" customFormat="1" ht="23.25" customHeight="1">
      <c r="A3035" s="278"/>
      <c r="B3035" s="286" t="s">
        <v>283</v>
      </c>
      <c r="C3035" s="280"/>
      <c r="D3035" s="280"/>
      <c r="E3035" s="280"/>
      <c r="F3035" s="282"/>
      <c r="G3035" s="415"/>
      <c r="H3035" s="415"/>
      <c r="I3035" s="416">
        <f>I3033</f>
        <v>633.26</v>
      </c>
      <c r="J3035" s="287" t="s">
        <v>4</v>
      </c>
      <c r="K3035" s="42"/>
      <c r="L3035" s="42"/>
      <c r="M3035" s="42"/>
    </row>
    <row r="3036" spans="1:13" s="45" customFormat="1" ht="23.25" customHeight="1">
      <c r="A3036" s="278"/>
      <c r="B3036" s="286" t="s">
        <v>288</v>
      </c>
      <c r="C3036" s="280"/>
      <c r="D3036" s="280"/>
      <c r="E3036" s="280"/>
      <c r="F3036" s="282"/>
      <c r="G3036" s="415"/>
      <c r="H3036" s="415"/>
      <c r="I3036" s="416"/>
      <c r="J3036" s="278"/>
      <c r="K3036" s="46"/>
      <c r="L3036" s="46"/>
      <c r="M3036" s="46"/>
    </row>
    <row r="3037" spans="1:13" s="45" customFormat="1" ht="23.25" customHeight="1">
      <c r="A3037" s="278"/>
      <c r="B3037" s="286" t="s">
        <v>283</v>
      </c>
      <c r="C3037" s="280"/>
      <c r="D3037" s="280"/>
      <c r="E3037" s="280"/>
      <c r="F3037" s="282"/>
      <c r="G3037" s="415"/>
      <c r="H3037" s="415"/>
      <c r="I3037" s="416">
        <f>I3035</f>
        <v>633.26</v>
      </c>
      <c r="J3037" s="287" t="s">
        <v>4</v>
      </c>
      <c r="K3037" s="42"/>
      <c r="L3037" s="42"/>
      <c r="M3037" s="42"/>
    </row>
    <row r="3038" spans="1:13" s="45" customFormat="1" ht="23.25" customHeight="1">
      <c r="A3038" s="278"/>
      <c r="B3038" s="279"/>
      <c r="C3038" s="280"/>
      <c r="D3038" s="280"/>
      <c r="E3038" s="280"/>
      <c r="F3038" s="282"/>
      <c r="G3038" s="415"/>
      <c r="H3038" s="415"/>
      <c r="I3038" s="339">
        <f>SUM(I3019:I3037)+I2969</f>
        <v>6381.76</v>
      </c>
      <c r="J3038" s="287" t="s">
        <v>4</v>
      </c>
      <c r="K3038" s="42"/>
      <c r="L3038" s="42"/>
      <c r="M3038" s="42"/>
    </row>
    <row r="3039" spans="1:13" s="45" customFormat="1" ht="23.25" customHeight="1">
      <c r="A3039" s="278"/>
      <c r="B3039" s="279"/>
      <c r="C3039" s="280"/>
      <c r="D3039" s="280"/>
      <c r="E3039" s="280"/>
      <c r="F3039" s="282"/>
      <c r="G3039" s="415"/>
      <c r="H3039" s="415" t="s">
        <v>55</v>
      </c>
      <c r="I3039" s="416">
        <f>ROUNDUP(I3038,0)</f>
        <v>6382</v>
      </c>
      <c r="J3039" s="287" t="s">
        <v>4</v>
      </c>
      <c r="K3039" s="42"/>
      <c r="L3039" s="42"/>
      <c r="M3039" s="42"/>
    </row>
    <row r="3040" spans="1:13" s="45" customFormat="1" ht="33" customHeight="1">
      <c r="A3040" s="288"/>
      <c r="B3040" s="286" t="s">
        <v>64</v>
      </c>
      <c r="C3040" s="280"/>
      <c r="D3040" s="280"/>
      <c r="E3040" s="280"/>
      <c r="F3040" s="282"/>
      <c r="G3040" s="282"/>
      <c r="H3040" s="282"/>
      <c r="I3040" s="416"/>
      <c r="J3040" s="278"/>
      <c r="K3040" s="46"/>
      <c r="L3040" s="46"/>
      <c r="M3040" s="46"/>
    </row>
    <row r="3041" spans="1:30" s="99" customFormat="1" ht="23.25" customHeight="1">
      <c r="A3041" s="289"/>
      <c r="B3041" s="319" t="s">
        <v>410</v>
      </c>
      <c r="C3041" s="294"/>
      <c r="D3041" s="280"/>
      <c r="E3041" s="294"/>
      <c r="F3041" s="338"/>
      <c r="G3041" s="338"/>
      <c r="H3041" s="338"/>
      <c r="I3041" s="347"/>
      <c r="J3041" s="340"/>
      <c r="K3041" s="39"/>
      <c r="L3041" s="39"/>
      <c r="M3041" s="39"/>
      <c r="N3041" s="100"/>
      <c r="O3041" s="100"/>
      <c r="P3041" s="100"/>
      <c r="Q3041" s="100"/>
      <c r="R3041" s="100"/>
      <c r="S3041" s="100"/>
      <c r="T3041" s="100"/>
      <c r="U3041" s="100"/>
      <c r="V3041" s="100"/>
      <c r="W3041" s="100"/>
      <c r="X3041" s="100"/>
      <c r="Y3041" s="100"/>
      <c r="Z3041" s="100"/>
      <c r="AA3041" s="100"/>
      <c r="AB3041" s="100"/>
      <c r="AC3041" s="100"/>
      <c r="AD3041" s="100"/>
    </row>
    <row r="3042" spans="1:30" s="65" customFormat="1" ht="23.25" customHeight="1">
      <c r="A3042" s="294"/>
      <c r="B3042" s="320" t="s">
        <v>409</v>
      </c>
      <c r="C3042" s="294"/>
      <c r="D3042" s="294"/>
      <c r="E3042" s="294"/>
      <c r="F3042" s="300"/>
      <c r="G3042" s="300"/>
      <c r="H3042" s="295"/>
      <c r="I3042" s="298"/>
      <c r="J3042" s="322"/>
    </row>
    <row r="3043" spans="1:30" s="65" customFormat="1" ht="23.25" customHeight="1">
      <c r="A3043" s="294"/>
      <c r="B3043" s="302" t="s">
        <v>408</v>
      </c>
      <c r="C3043" s="294">
        <v>10</v>
      </c>
      <c r="D3043" s="294">
        <v>1</v>
      </c>
      <c r="E3043" s="294">
        <v>1</v>
      </c>
      <c r="F3043" s="295">
        <v>17.059999999999999</v>
      </c>
      <c r="G3043" s="300"/>
      <c r="H3043" s="294">
        <v>2.9249999999999998</v>
      </c>
      <c r="I3043" s="298">
        <f>PRODUCT(C3043:H3043)</f>
        <v>499.01</v>
      </c>
      <c r="J3043" s="322"/>
      <c r="N3043" s="75">
        <f>5.18+3.35+5.18+3.35</f>
        <v>17.059999999999999</v>
      </c>
    </row>
    <row r="3044" spans="1:30" s="5" customFormat="1" ht="23.25" customHeight="1">
      <c r="A3044" s="370"/>
      <c r="B3044" s="319" t="s">
        <v>660</v>
      </c>
      <c r="C3044" s="346"/>
      <c r="D3044" s="280"/>
      <c r="E3044" s="346"/>
      <c r="F3044" s="337"/>
      <c r="G3044" s="337"/>
      <c r="H3044" s="337"/>
      <c r="I3044" s="347"/>
      <c r="J3044" s="284"/>
      <c r="K3044" s="43"/>
      <c r="L3044" s="43"/>
      <c r="M3044" s="43"/>
      <c r="N3044" s="7"/>
      <c r="O3044" s="7"/>
      <c r="P3044" s="7"/>
      <c r="Q3044" s="7"/>
      <c r="R3044" s="7"/>
      <c r="S3044" s="7"/>
      <c r="T3044" s="7"/>
      <c r="U3044" s="7"/>
      <c r="V3044" s="7"/>
      <c r="W3044" s="7"/>
      <c r="X3044" s="7"/>
      <c r="Y3044" s="7"/>
      <c r="Z3044" s="7"/>
      <c r="AA3044" s="7"/>
      <c r="AB3044" s="7"/>
      <c r="AC3044" s="7"/>
      <c r="AD3044" s="7"/>
    </row>
    <row r="3045" spans="1:30" s="67" customFormat="1" ht="25.5" customHeight="1">
      <c r="A3045" s="303"/>
      <c r="B3045" s="302" t="s">
        <v>659</v>
      </c>
      <c r="C3045" s="294">
        <v>2</v>
      </c>
      <c r="D3045" s="294">
        <v>1</v>
      </c>
      <c r="E3045" s="294">
        <v>1</v>
      </c>
      <c r="F3045" s="295">
        <v>25.4</v>
      </c>
      <c r="G3045" s="295"/>
      <c r="H3045" s="294">
        <v>2.9249999999999998</v>
      </c>
      <c r="I3045" s="298">
        <f t="shared" ref="I3045:I3108" si="140">PRODUCT(C3045:H3045)</f>
        <v>148.59</v>
      </c>
      <c r="J3045" s="303"/>
      <c r="N3045" s="67">
        <f>2.85-0.125</f>
        <v>2.7250000000000001</v>
      </c>
    </row>
    <row r="3046" spans="1:30" s="67" customFormat="1" ht="24.75" customHeight="1">
      <c r="A3046" s="303"/>
      <c r="B3046" s="302" t="s">
        <v>657</v>
      </c>
      <c r="C3046" s="294">
        <v>-1</v>
      </c>
      <c r="D3046" s="294">
        <v>1</v>
      </c>
      <c r="E3046" s="294">
        <v>1</v>
      </c>
      <c r="F3046" s="295">
        <v>1.8</v>
      </c>
      <c r="G3046" s="295"/>
      <c r="H3046" s="295">
        <v>2.1</v>
      </c>
      <c r="I3046" s="298">
        <f t="shared" si="140"/>
        <v>-3.78</v>
      </c>
      <c r="J3046" s="303"/>
    </row>
    <row r="3047" spans="1:30" s="67" customFormat="1" ht="24.75" customHeight="1">
      <c r="A3047" s="303"/>
      <c r="B3047" s="302" t="s">
        <v>654</v>
      </c>
      <c r="C3047" s="294">
        <v>1</v>
      </c>
      <c r="D3047" s="294">
        <v>1</v>
      </c>
      <c r="E3047" s="294">
        <v>1</v>
      </c>
      <c r="F3047" s="295">
        <v>6</v>
      </c>
      <c r="G3047" s="295">
        <v>0.23</v>
      </c>
      <c r="H3047" s="295"/>
      <c r="I3047" s="298">
        <f t="shared" si="140"/>
        <v>1.38</v>
      </c>
      <c r="J3047" s="303"/>
      <c r="N3047" s="70">
        <f>1.8+2.1+2.1</f>
        <v>6</v>
      </c>
    </row>
    <row r="3048" spans="1:30" s="67" customFormat="1" ht="24.75" customHeight="1">
      <c r="A3048" s="303"/>
      <c r="B3048" s="302" t="s">
        <v>426</v>
      </c>
      <c r="C3048" s="294">
        <v>-1</v>
      </c>
      <c r="D3048" s="294">
        <v>1</v>
      </c>
      <c r="E3048" s="294">
        <v>1</v>
      </c>
      <c r="F3048" s="295">
        <v>0.9</v>
      </c>
      <c r="G3048" s="295"/>
      <c r="H3048" s="295">
        <v>2.1</v>
      </c>
      <c r="I3048" s="298">
        <f t="shared" si="140"/>
        <v>-1.89</v>
      </c>
      <c r="J3048" s="303"/>
    </row>
    <row r="3049" spans="1:30" s="67" customFormat="1" ht="24.75" customHeight="1">
      <c r="A3049" s="303"/>
      <c r="B3049" s="302" t="s">
        <v>628</v>
      </c>
      <c r="C3049" s="294">
        <v>1</v>
      </c>
      <c r="D3049" s="294">
        <v>1</v>
      </c>
      <c r="E3049" s="294">
        <v>1</v>
      </c>
      <c r="F3049" s="295">
        <v>5.0999999999999996</v>
      </c>
      <c r="G3049" s="295">
        <v>0.23</v>
      </c>
      <c r="H3049" s="295"/>
      <c r="I3049" s="298">
        <f t="shared" si="140"/>
        <v>1.17</v>
      </c>
      <c r="J3049" s="303"/>
      <c r="N3049" s="67">
        <f>0.9+2.1+2.1</f>
        <v>5.0999999999999996</v>
      </c>
    </row>
    <row r="3050" spans="1:30" s="67" customFormat="1" ht="24.75" customHeight="1">
      <c r="A3050" s="303"/>
      <c r="B3050" s="302" t="s">
        <v>640</v>
      </c>
      <c r="C3050" s="294">
        <v>-1</v>
      </c>
      <c r="D3050" s="294">
        <v>1</v>
      </c>
      <c r="E3050" s="294">
        <v>5</v>
      </c>
      <c r="F3050" s="295">
        <v>1.5</v>
      </c>
      <c r="G3050" s="295"/>
      <c r="H3050" s="295">
        <v>1.4</v>
      </c>
      <c r="I3050" s="298">
        <f t="shared" si="140"/>
        <v>-10.5</v>
      </c>
      <c r="J3050" s="303"/>
    </row>
    <row r="3051" spans="1:30" s="67" customFormat="1" ht="24.75" customHeight="1">
      <c r="A3051" s="303"/>
      <c r="B3051" s="302" t="s">
        <v>639</v>
      </c>
      <c r="C3051" s="294">
        <v>1</v>
      </c>
      <c r="D3051" s="294">
        <v>1</v>
      </c>
      <c r="E3051" s="294">
        <v>5</v>
      </c>
      <c r="F3051" s="295">
        <v>5.7</v>
      </c>
      <c r="G3051" s="295">
        <v>0.23</v>
      </c>
      <c r="H3051" s="295"/>
      <c r="I3051" s="298">
        <f t="shared" si="140"/>
        <v>6.56</v>
      </c>
      <c r="J3051" s="303"/>
      <c r="N3051" s="70">
        <f>1.5+1.35+1.5+1.35</f>
        <v>5.7</v>
      </c>
    </row>
    <row r="3052" spans="1:30" s="67" customFormat="1" ht="24.75" customHeight="1">
      <c r="A3052" s="303"/>
      <c r="B3052" s="302" t="s">
        <v>631</v>
      </c>
      <c r="C3052" s="294">
        <v>-1</v>
      </c>
      <c r="D3052" s="294">
        <v>1</v>
      </c>
      <c r="E3052" s="294">
        <v>2</v>
      </c>
      <c r="F3052" s="295">
        <v>1.5</v>
      </c>
      <c r="G3052" s="300"/>
      <c r="H3052" s="300">
        <v>1.35</v>
      </c>
      <c r="I3052" s="298">
        <f t="shared" si="140"/>
        <v>-4.05</v>
      </c>
      <c r="J3052" s="303"/>
    </row>
    <row r="3053" spans="1:30" s="69" customFormat="1" ht="24.75" customHeight="1">
      <c r="A3053" s="470"/>
      <c r="B3053" s="302" t="s">
        <v>630</v>
      </c>
      <c r="C3053" s="294">
        <v>1</v>
      </c>
      <c r="D3053" s="294">
        <v>1</v>
      </c>
      <c r="E3053" s="294">
        <v>2</v>
      </c>
      <c r="F3053" s="295">
        <v>5.7</v>
      </c>
      <c r="G3053" s="295">
        <v>0.23</v>
      </c>
      <c r="H3053" s="512"/>
      <c r="I3053" s="298">
        <f t="shared" si="140"/>
        <v>2.62</v>
      </c>
      <c r="J3053" s="470"/>
    </row>
    <row r="3054" spans="1:30" s="69" customFormat="1" ht="24.75" customHeight="1">
      <c r="A3054" s="470"/>
      <c r="B3054" s="302" t="s">
        <v>658</v>
      </c>
      <c r="C3054" s="294">
        <v>1</v>
      </c>
      <c r="D3054" s="294">
        <v>1</v>
      </c>
      <c r="E3054" s="294">
        <v>1</v>
      </c>
      <c r="F3054" s="295">
        <v>9.76</v>
      </c>
      <c r="G3054" s="300"/>
      <c r="H3054" s="294">
        <v>2.9249999999999998</v>
      </c>
      <c r="I3054" s="298">
        <f t="shared" si="140"/>
        <v>28.55</v>
      </c>
      <c r="J3054" s="470"/>
      <c r="N3054" s="69">
        <f>2.58+2.3+2.58+2.3</f>
        <v>9.76</v>
      </c>
    </row>
    <row r="3055" spans="1:30" s="67" customFormat="1" ht="24.75" customHeight="1">
      <c r="A3055" s="303"/>
      <c r="B3055" s="302" t="s">
        <v>657</v>
      </c>
      <c r="C3055" s="294">
        <v>-1</v>
      </c>
      <c r="D3055" s="294">
        <v>1</v>
      </c>
      <c r="E3055" s="294">
        <v>1</v>
      </c>
      <c r="F3055" s="295">
        <v>1.8</v>
      </c>
      <c r="G3055" s="295"/>
      <c r="H3055" s="295">
        <v>2.1</v>
      </c>
      <c r="I3055" s="298">
        <f t="shared" si="140"/>
        <v>-3.78</v>
      </c>
      <c r="J3055" s="303"/>
    </row>
    <row r="3056" spans="1:30" s="67" customFormat="1" ht="24.75" customHeight="1">
      <c r="A3056" s="303"/>
      <c r="B3056" s="302" t="s">
        <v>652</v>
      </c>
      <c r="C3056" s="294">
        <v>-1</v>
      </c>
      <c r="D3056" s="294">
        <v>1</v>
      </c>
      <c r="E3056" s="294">
        <v>1</v>
      </c>
      <c r="F3056" s="295">
        <v>1.5</v>
      </c>
      <c r="G3056" s="295"/>
      <c r="H3056" s="295">
        <v>2.1</v>
      </c>
      <c r="I3056" s="298">
        <f t="shared" si="140"/>
        <v>-3.15</v>
      </c>
      <c r="J3056" s="303"/>
    </row>
    <row r="3057" spans="1:14" s="67" customFormat="1" ht="24.75" customHeight="1">
      <c r="A3057" s="303"/>
      <c r="B3057" s="302" t="s">
        <v>654</v>
      </c>
      <c r="C3057" s="294">
        <v>1</v>
      </c>
      <c r="D3057" s="294">
        <v>1</v>
      </c>
      <c r="E3057" s="294">
        <v>1</v>
      </c>
      <c r="F3057" s="295">
        <v>7.2</v>
      </c>
      <c r="G3057" s="300">
        <v>0.23</v>
      </c>
      <c r="H3057" s="300"/>
      <c r="I3057" s="298">
        <f t="shared" si="140"/>
        <v>1.66</v>
      </c>
      <c r="J3057" s="303"/>
      <c r="N3057" s="67">
        <f>1.5+2.1+1.5+2.1</f>
        <v>7.2</v>
      </c>
    </row>
    <row r="3058" spans="1:14" s="67" customFormat="1" ht="24.75" customHeight="1">
      <c r="A3058" s="303"/>
      <c r="B3058" s="302" t="s">
        <v>656</v>
      </c>
      <c r="C3058" s="294">
        <v>-1</v>
      </c>
      <c r="D3058" s="294">
        <v>1</v>
      </c>
      <c r="E3058" s="294">
        <v>1</v>
      </c>
      <c r="F3058" s="295">
        <v>2.2999999999999998</v>
      </c>
      <c r="G3058" s="300"/>
      <c r="H3058" s="295">
        <v>2.1</v>
      </c>
      <c r="I3058" s="298">
        <f t="shared" si="140"/>
        <v>-4.83</v>
      </c>
      <c r="J3058" s="303"/>
    </row>
    <row r="3059" spans="1:14" s="67" customFormat="1" ht="24.75" customHeight="1">
      <c r="A3059" s="303"/>
      <c r="B3059" s="302" t="s">
        <v>448</v>
      </c>
      <c r="C3059" s="294">
        <v>1</v>
      </c>
      <c r="D3059" s="294">
        <v>1</v>
      </c>
      <c r="E3059" s="294">
        <v>1</v>
      </c>
      <c r="F3059" s="295">
        <v>6.5</v>
      </c>
      <c r="G3059" s="295">
        <v>0.23</v>
      </c>
      <c r="H3059" s="295"/>
      <c r="I3059" s="298">
        <f t="shared" si="140"/>
        <v>1.5</v>
      </c>
      <c r="J3059" s="303"/>
      <c r="N3059" s="67">
        <f>2.3+2.1+2.1</f>
        <v>6.5</v>
      </c>
    </row>
    <row r="3060" spans="1:14" s="67" customFormat="1" ht="24.75" customHeight="1">
      <c r="A3060" s="303"/>
      <c r="B3060" s="302" t="s">
        <v>653</v>
      </c>
      <c r="C3060" s="294">
        <v>1</v>
      </c>
      <c r="D3060" s="294">
        <v>1</v>
      </c>
      <c r="E3060" s="294">
        <v>1</v>
      </c>
      <c r="F3060" s="295">
        <v>2.2999999999999998</v>
      </c>
      <c r="G3060" s="295"/>
      <c r="H3060" s="294">
        <v>2.9249999999999998</v>
      </c>
      <c r="I3060" s="298">
        <f t="shared" si="140"/>
        <v>6.73</v>
      </c>
      <c r="J3060" s="303"/>
    </row>
    <row r="3061" spans="1:14" s="67" customFormat="1" ht="24.75" customHeight="1">
      <c r="A3061" s="303"/>
      <c r="B3061" s="302" t="s">
        <v>652</v>
      </c>
      <c r="C3061" s="294">
        <v>-1</v>
      </c>
      <c r="D3061" s="294">
        <v>1</v>
      </c>
      <c r="E3061" s="294">
        <v>1</v>
      </c>
      <c r="F3061" s="295">
        <v>1.5</v>
      </c>
      <c r="G3061" s="295"/>
      <c r="H3061" s="295">
        <v>2.1</v>
      </c>
      <c r="I3061" s="298">
        <f t="shared" si="140"/>
        <v>-3.15</v>
      </c>
      <c r="J3061" s="303"/>
    </row>
    <row r="3062" spans="1:14" s="67" customFormat="1" ht="24.75" customHeight="1">
      <c r="A3062" s="303"/>
      <c r="B3062" s="302" t="s">
        <v>655</v>
      </c>
      <c r="C3062" s="294">
        <v>1</v>
      </c>
      <c r="D3062" s="294">
        <v>1</v>
      </c>
      <c r="E3062" s="294">
        <v>3</v>
      </c>
      <c r="F3062" s="295">
        <v>6.5</v>
      </c>
      <c r="G3062" s="300"/>
      <c r="H3062" s="294">
        <v>2.9249999999999998</v>
      </c>
      <c r="I3062" s="298">
        <f t="shared" si="140"/>
        <v>57.04</v>
      </c>
      <c r="J3062" s="303"/>
      <c r="N3062" s="67">
        <f>1.75+1.5+1.75+1.5</f>
        <v>6.5</v>
      </c>
    </row>
    <row r="3063" spans="1:14" s="67" customFormat="1" ht="24.75" customHeight="1">
      <c r="A3063" s="303"/>
      <c r="B3063" s="302" t="s">
        <v>652</v>
      </c>
      <c r="C3063" s="294">
        <v>-1</v>
      </c>
      <c r="D3063" s="294">
        <v>1</v>
      </c>
      <c r="E3063" s="294">
        <v>3</v>
      </c>
      <c r="F3063" s="295">
        <v>1.5</v>
      </c>
      <c r="G3063" s="295"/>
      <c r="H3063" s="295">
        <v>2.1</v>
      </c>
      <c r="I3063" s="298">
        <f t="shared" si="140"/>
        <v>-9.4499999999999993</v>
      </c>
      <c r="J3063" s="303"/>
    </row>
    <row r="3064" spans="1:14" s="67" customFormat="1" ht="24.75" customHeight="1">
      <c r="A3064" s="303"/>
      <c r="B3064" s="302" t="s">
        <v>654</v>
      </c>
      <c r="C3064" s="294">
        <v>1</v>
      </c>
      <c r="D3064" s="294">
        <v>1</v>
      </c>
      <c r="E3064" s="294">
        <v>3</v>
      </c>
      <c r="F3064" s="295">
        <v>7.2</v>
      </c>
      <c r="G3064" s="295">
        <v>0.23</v>
      </c>
      <c r="H3064" s="295"/>
      <c r="I3064" s="298">
        <f t="shared" si="140"/>
        <v>4.97</v>
      </c>
      <c r="J3064" s="303"/>
      <c r="N3064" s="67">
        <f>1.5+2.1+1.5+2.1</f>
        <v>7.2</v>
      </c>
    </row>
    <row r="3065" spans="1:14" s="67" customFormat="1" ht="24.75" customHeight="1">
      <c r="A3065" s="303"/>
      <c r="B3065" s="302" t="s">
        <v>653</v>
      </c>
      <c r="C3065" s="294">
        <v>1</v>
      </c>
      <c r="D3065" s="294">
        <v>1</v>
      </c>
      <c r="E3065" s="294">
        <v>3</v>
      </c>
      <c r="F3065" s="295">
        <v>1.75</v>
      </c>
      <c r="G3065" s="295"/>
      <c r="H3065" s="294">
        <v>2.9249999999999998</v>
      </c>
      <c r="I3065" s="298">
        <f t="shared" si="140"/>
        <v>15.36</v>
      </c>
      <c r="J3065" s="303"/>
    </row>
    <row r="3066" spans="1:14" s="67" customFormat="1" ht="24.75" customHeight="1">
      <c r="A3066" s="303"/>
      <c r="B3066" s="302" t="s">
        <v>652</v>
      </c>
      <c r="C3066" s="294">
        <v>-1</v>
      </c>
      <c r="D3066" s="294">
        <v>1</v>
      </c>
      <c r="E3066" s="294">
        <v>3</v>
      </c>
      <c r="F3066" s="295">
        <v>1.5</v>
      </c>
      <c r="G3066" s="295"/>
      <c r="H3066" s="295">
        <v>2.1</v>
      </c>
      <c r="I3066" s="298">
        <f t="shared" si="140"/>
        <v>-9.4499999999999993</v>
      </c>
      <c r="J3066" s="303"/>
    </row>
    <row r="3067" spans="1:14" s="67" customFormat="1" ht="24.75" customHeight="1">
      <c r="A3067" s="303"/>
      <c r="B3067" s="302" t="s">
        <v>651</v>
      </c>
      <c r="C3067" s="294">
        <v>1</v>
      </c>
      <c r="D3067" s="294">
        <v>1</v>
      </c>
      <c r="E3067" s="294">
        <v>1</v>
      </c>
      <c r="F3067" s="295">
        <v>16.84</v>
      </c>
      <c r="G3067" s="300"/>
      <c r="H3067" s="294">
        <v>2.9249999999999998</v>
      </c>
      <c r="I3067" s="298">
        <f t="shared" si="140"/>
        <v>49.26</v>
      </c>
      <c r="J3067" s="303"/>
      <c r="N3067" s="67">
        <f>5.185+3.235+5.185+3.235</f>
        <v>16.84</v>
      </c>
    </row>
    <row r="3068" spans="1:14" s="67" customFormat="1" ht="24.75" customHeight="1">
      <c r="A3068" s="303"/>
      <c r="B3068" s="302" t="s">
        <v>426</v>
      </c>
      <c r="C3068" s="294">
        <v>-1</v>
      </c>
      <c r="D3068" s="294">
        <v>1</v>
      </c>
      <c r="E3068" s="294">
        <v>1</v>
      </c>
      <c r="F3068" s="295">
        <v>0.9</v>
      </c>
      <c r="G3068" s="300"/>
      <c r="H3068" s="300">
        <v>2.1</v>
      </c>
      <c r="I3068" s="298">
        <f t="shared" si="140"/>
        <v>-1.89</v>
      </c>
      <c r="J3068" s="303"/>
    </row>
    <row r="3069" spans="1:14" s="67" customFormat="1" ht="24.75" customHeight="1">
      <c r="A3069" s="303"/>
      <c r="B3069" s="302" t="s">
        <v>628</v>
      </c>
      <c r="C3069" s="294">
        <v>1</v>
      </c>
      <c r="D3069" s="294">
        <v>1</v>
      </c>
      <c r="E3069" s="294">
        <v>1</v>
      </c>
      <c r="F3069" s="295">
        <v>5.0999999999999996</v>
      </c>
      <c r="G3069" s="300">
        <v>0.23</v>
      </c>
      <c r="H3069" s="300"/>
      <c r="I3069" s="298">
        <f t="shared" si="140"/>
        <v>1.17</v>
      </c>
      <c r="J3069" s="303"/>
      <c r="N3069" s="67">
        <f>0.9+2.1+2.1</f>
        <v>5.0999999999999996</v>
      </c>
    </row>
    <row r="3070" spans="1:14" s="67" customFormat="1" ht="24.75" customHeight="1">
      <c r="A3070" s="303"/>
      <c r="B3070" s="302" t="s">
        <v>640</v>
      </c>
      <c r="C3070" s="294">
        <v>-1</v>
      </c>
      <c r="D3070" s="294">
        <v>1</v>
      </c>
      <c r="E3070" s="294">
        <v>1</v>
      </c>
      <c r="F3070" s="295">
        <v>1.5</v>
      </c>
      <c r="G3070" s="295"/>
      <c r="H3070" s="295">
        <v>1.35</v>
      </c>
      <c r="I3070" s="298">
        <f t="shared" si="140"/>
        <v>-2.0299999999999998</v>
      </c>
      <c r="J3070" s="303"/>
    </row>
    <row r="3071" spans="1:14" s="67" customFormat="1" ht="24.75" customHeight="1">
      <c r="A3071" s="303"/>
      <c r="B3071" s="302" t="s">
        <v>639</v>
      </c>
      <c r="C3071" s="294">
        <v>1</v>
      </c>
      <c r="D3071" s="294">
        <v>1</v>
      </c>
      <c r="E3071" s="294">
        <v>1</v>
      </c>
      <c r="F3071" s="295">
        <v>5.7</v>
      </c>
      <c r="G3071" s="295">
        <v>0.23</v>
      </c>
      <c r="H3071" s="295"/>
      <c r="I3071" s="298">
        <f t="shared" si="140"/>
        <v>1.31</v>
      </c>
      <c r="J3071" s="303"/>
    </row>
    <row r="3072" spans="1:14" s="67" customFormat="1" ht="24.75" customHeight="1">
      <c r="A3072" s="303"/>
      <c r="B3072" s="302" t="s">
        <v>120</v>
      </c>
      <c r="C3072" s="294">
        <v>-1</v>
      </c>
      <c r="D3072" s="294">
        <v>1</v>
      </c>
      <c r="E3072" s="294">
        <v>1</v>
      </c>
      <c r="F3072" s="295">
        <v>1.1000000000000001</v>
      </c>
      <c r="G3072" s="300"/>
      <c r="H3072" s="300">
        <v>2.1</v>
      </c>
      <c r="I3072" s="298">
        <f t="shared" si="140"/>
        <v>-2.31</v>
      </c>
      <c r="J3072" s="303"/>
    </row>
    <row r="3073" spans="1:14" s="67" customFormat="1" ht="24.75" customHeight="1">
      <c r="A3073" s="303"/>
      <c r="B3073" s="302" t="s">
        <v>448</v>
      </c>
      <c r="C3073" s="294">
        <v>1</v>
      </c>
      <c r="D3073" s="294">
        <v>1</v>
      </c>
      <c r="E3073" s="294">
        <v>1</v>
      </c>
      <c r="F3073" s="295">
        <f>1.1+2.1+2.1</f>
        <v>5.3</v>
      </c>
      <c r="G3073" s="300">
        <v>0.115</v>
      </c>
      <c r="H3073" s="300"/>
      <c r="I3073" s="298">
        <f t="shared" si="140"/>
        <v>0.61</v>
      </c>
      <c r="J3073" s="303"/>
    </row>
    <row r="3074" spans="1:14" s="67" customFormat="1" ht="24.75" customHeight="1">
      <c r="A3074" s="303"/>
      <c r="B3074" s="302" t="s">
        <v>650</v>
      </c>
      <c r="C3074" s="294">
        <v>1</v>
      </c>
      <c r="D3074" s="294">
        <v>1</v>
      </c>
      <c r="E3074" s="294">
        <v>3</v>
      </c>
      <c r="F3074" s="300">
        <v>3.4649999999999999</v>
      </c>
      <c r="G3074" s="300"/>
      <c r="H3074" s="294">
        <v>2.9249999999999998</v>
      </c>
      <c r="I3074" s="298">
        <f t="shared" si="140"/>
        <v>30.41</v>
      </c>
      <c r="J3074" s="303"/>
    </row>
    <row r="3075" spans="1:14" s="67" customFormat="1" ht="24.75" customHeight="1">
      <c r="A3075" s="303"/>
      <c r="B3075" s="302" t="s">
        <v>426</v>
      </c>
      <c r="C3075" s="294">
        <v>-1</v>
      </c>
      <c r="D3075" s="294">
        <v>1</v>
      </c>
      <c r="E3075" s="294">
        <v>1</v>
      </c>
      <c r="F3075" s="295">
        <v>0.9</v>
      </c>
      <c r="G3075" s="300"/>
      <c r="H3075" s="300">
        <v>2.1</v>
      </c>
      <c r="I3075" s="298">
        <f t="shared" si="140"/>
        <v>-1.89</v>
      </c>
      <c r="J3075" s="303"/>
    </row>
    <row r="3076" spans="1:14" s="67" customFormat="1" ht="24.75" customHeight="1">
      <c r="A3076" s="303"/>
      <c r="B3076" s="302" t="s">
        <v>640</v>
      </c>
      <c r="C3076" s="294">
        <v>-1</v>
      </c>
      <c r="D3076" s="294">
        <v>1</v>
      </c>
      <c r="E3076" s="294">
        <v>1</v>
      </c>
      <c r="F3076" s="295">
        <v>1.5</v>
      </c>
      <c r="G3076" s="300"/>
      <c r="H3076" s="300">
        <v>1.35</v>
      </c>
      <c r="I3076" s="298">
        <f t="shared" si="140"/>
        <v>-2.0299999999999998</v>
      </c>
      <c r="J3076" s="303"/>
    </row>
    <row r="3077" spans="1:14" s="67" customFormat="1" ht="24.75" customHeight="1">
      <c r="A3077" s="303"/>
      <c r="B3077" s="302" t="s">
        <v>649</v>
      </c>
      <c r="C3077" s="294">
        <v>1</v>
      </c>
      <c r="D3077" s="294">
        <v>1</v>
      </c>
      <c r="E3077" s="294">
        <v>1</v>
      </c>
      <c r="F3077" s="295">
        <v>6.83</v>
      </c>
      <c r="G3077" s="300"/>
      <c r="H3077" s="294">
        <v>2.9249999999999998</v>
      </c>
      <c r="I3077" s="298">
        <f t="shared" si="140"/>
        <v>19.98</v>
      </c>
      <c r="J3077" s="303"/>
      <c r="N3077" s="67">
        <f>2.1+1.315+2.1+1.315</f>
        <v>6.83</v>
      </c>
    </row>
    <row r="3078" spans="1:14" s="67" customFormat="1" ht="24.75" customHeight="1">
      <c r="A3078" s="303"/>
      <c r="B3078" s="302" t="s">
        <v>70</v>
      </c>
      <c r="C3078" s="294">
        <v>-1</v>
      </c>
      <c r="D3078" s="294">
        <v>1</v>
      </c>
      <c r="E3078" s="294">
        <v>1</v>
      </c>
      <c r="F3078" s="295">
        <v>0.75</v>
      </c>
      <c r="G3078" s="300"/>
      <c r="H3078" s="300">
        <v>2.1</v>
      </c>
      <c r="I3078" s="298">
        <f t="shared" si="140"/>
        <v>-1.58</v>
      </c>
      <c r="J3078" s="303"/>
    </row>
    <row r="3079" spans="1:14" s="67" customFormat="1" ht="24.75" customHeight="1">
      <c r="A3079" s="303"/>
      <c r="B3079" s="302" t="s">
        <v>103</v>
      </c>
      <c r="C3079" s="294">
        <v>1</v>
      </c>
      <c r="D3079" s="294">
        <v>1</v>
      </c>
      <c r="E3079" s="294">
        <v>1</v>
      </c>
      <c r="F3079" s="295">
        <f>0.75+2.1+2.1</f>
        <v>4.95</v>
      </c>
      <c r="G3079" s="300">
        <v>0.115</v>
      </c>
      <c r="H3079" s="300"/>
      <c r="I3079" s="298">
        <f t="shared" si="140"/>
        <v>0.56999999999999995</v>
      </c>
      <c r="J3079" s="303"/>
    </row>
    <row r="3080" spans="1:14" s="67" customFormat="1" ht="24.75" customHeight="1">
      <c r="A3080" s="303"/>
      <c r="B3080" s="302" t="s">
        <v>648</v>
      </c>
      <c r="C3080" s="294">
        <v>1</v>
      </c>
      <c r="D3080" s="294">
        <v>1</v>
      </c>
      <c r="E3080" s="294">
        <v>1</v>
      </c>
      <c r="F3080" s="295">
        <v>5.2</v>
      </c>
      <c r="G3080" s="300"/>
      <c r="H3080" s="294">
        <v>2.9249999999999998</v>
      </c>
      <c r="I3080" s="298">
        <f t="shared" si="140"/>
        <v>15.21</v>
      </c>
      <c r="J3080" s="303"/>
      <c r="N3080" s="67">
        <f>1.4+1.2+1.4+1.2</f>
        <v>5.2</v>
      </c>
    </row>
    <row r="3081" spans="1:14" s="67" customFormat="1" ht="24.75" customHeight="1">
      <c r="A3081" s="303"/>
      <c r="B3081" s="302" t="s">
        <v>70</v>
      </c>
      <c r="C3081" s="294">
        <v>-1</v>
      </c>
      <c r="D3081" s="294">
        <v>1</v>
      </c>
      <c r="E3081" s="294">
        <v>1</v>
      </c>
      <c r="F3081" s="295">
        <v>0.75</v>
      </c>
      <c r="G3081" s="300"/>
      <c r="H3081" s="300">
        <v>2.1</v>
      </c>
      <c r="I3081" s="298">
        <f t="shared" si="140"/>
        <v>-1.58</v>
      </c>
      <c r="J3081" s="303"/>
    </row>
    <row r="3082" spans="1:14" s="67" customFormat="1" ht="24.75" customHeight="1">
      <c r="A3082" s="303"/>
      <c r="B3082" s="302" t="s">
        <v>120</v>
      </c>
      <c r="C3082" s="294">
        <v>-1</v>
      </c>
      <c r="D3082" s="294">
        <v>1</v>
      </c>
      <c r="E3082" s="294">
        <v>1</v>
      </c>
      <c r="F3082" s="295">
        <v>1.1000000000000001</v>
      </c>
      <c r="G3082" s="300"/>
      <c r="H3082" s="300">
        <v>2.1</v>
      </c>
      <c r="I3082" s="298">
        <f t="shared" si="140"/>
        <v>-2.31</v>
      </c>
      <c r="J3082" s="303"/>
    </row>
    <row r="3083" spans="1:14" s="67" customFormat="1" ht="24.75" customHeight="1">
      <c r="A3083" s="303"/>
      <c r="B3083" s="302" t="s">
        <v>647</v>
      </c>
      <c r="C3083" s="294">
        <v>1</v>
      </c>
      <c r="D3083" s="294">
        <v>1</v>
      </c>
      <c r="E3083" s="294">
        <v>1</v>
      </c>
      <c r="F3083" s="295">
        <v>14.77</v>
      </c>
      <c r="G3083" s="300"/>
      <c r="H3083" s="294">
        <v>2.9249999999999998</v>
      </c>
      <c r="I3083" s="298">
        <f t="shared" si="140"/>
        <v>43.2</v>
      </c>
      <c r="J3083" s="303"/>
      <c r="N3083" s="67">
        <f>2.17+1.43+1.215+2.57+3.385+4</f>
        <v>14.77</v>
      </c>
    </row>
    <row r="3084" spans="1:14" s="67" customFormat="1" ht="24.75" customHeight="1">
      <c r="A3084" s="303"/>
      <c r="B3084" s="302" t="s">
        <v>633</v>
      </c>
      <c r="C3084" s="294">
        <v>-1</v>
      </c>
      <c r="D3084" s="294">
        <v>1</v>
      </c>
      <c r="E3084" s="294">
        <v>1</v>
      </c>
      <c r="F3084" s="295">
        <v>2.1</v>
      </c>
      <c r="G3084" s="300"/>
      <c r="H3084" s="300">
        <v>2.1</v>
      </c>
      <c r="I3084" s="298">
        <f t="shared" si="140"/>
        <v>-4.41</v>
      </c>
      <c r="J3084" s="303"/>
    </row>
    <row r="3085" spans="1:14" s="67" customFormat="1" ht="24.75" customHeight="1">
      <c r="A3085" s="303"/>
      <c r="B3085" s="302" t="s">
        <v>632</v>
      </c>
      <c r="C3085" s="294">
        <v>1</v>
      </c>
      <c r="D3085" s="294">
        <v>1</v>
      </c>
      <c r="E3085" s="294">
        <v>1</v>
      </c>
      <c r="F3085" s="295">
        <v>6.3</v>
      </c>
      <c r="G3085" s="300">
        <v>0.23</v>
      </c>
      <c r="H3085" s="300"/>
      <c r="I3085" s="298">
        <f t="shared" si="140"/>
        <v>1.45</v>
      </c>
      <c r="J3085" s="303"/>
      <c r="N3085" s="67">
        <f>2.1+2.1+2.1</f>
        <v>6.3</v>
      </c>
    </row>
    <row r="3086" spans="1:14" s="67" customFormat="1" ht="24.75" customHeight="1">
      <c r="A3086" s="303"/>
      <c r="B3086" s="302" t="s">
        <v>646</v>
      </c>
      <c r="C3086" s="294">
        <v>1</v>
      </c>
      <c r="D3086" s="294">
        <v>1</v>
      </c>
      <c r="E3086" s="294">
        <v>1</v>
      </c>
      <c r="F3086" s="295">
        <v>16.84</v>
      </c>
      <c r="G3086" s="300"/>
      <c r="H3086" s="294">
        <v>2.9249999999999998</v>
      </c>
      <c r="I3086" s="298">
        <f t="shared" si="140"/>
        <v>49.26</v>
      </c>
      <c r="J3086" s="303"/>
      <c r="N3086" s="67">
        <f>5.185+3.235+5.185+3.235</f>
        <v>16.84</v>
      </c>
    </row>
    <row r="3087" spans="1:14" s="67" customFormat="1" ht="24.75" customHeight="1">
      <c r="A3087" s="303"/>
      <c r="B3087" s="302" t="s">
        <v>426</v>
      </c>
      <c r="C3087" s="294">
        <v>-1</v>
      </c>
      <c r="D3087" s="294">
        <v>1</v>
      </c>
      <c r="E3087" s="294">
        <v>1</v>
      </c>
      <c r="F3087" s="295">
        <v>0.9</v>
      </c>
      <c r="G3087" s="300"/>
      <c r="H3087" s="300">
        <v>2.1</v>
      </c>
      <c r="I3087" s="298">
        <f t="shared" si="140"/>
        <v>-1.89</v>
      </c>
      <c r="J3087" s="303"/>
    </row>
    <row r="3088" spans="1:14" s="67" customFormat="1" ht="24.75" customHeight="1">
      <c r="A3088" s="303"/>
      <c r="B3088" s="302" t="s">
        <v>628</v>
      </c>
      <c r="C3088" s="294">
        <v>1</v>
      </c>
      <c r="D3088" s="294">
        <v>1</v>
      </c>
      <c r="E3088" s="294">
        <v>1</v>
      </c>
      <c r="F3088" s="295">
        <v>5.0999999999999996</v>
      </c>
      <c r="G3088" s="300">
        <v>0.23</v>
      </c>
      <c r="H3088" s="300"/>
      <c r="I3088" s="298">
        <f t="shared" si="140"/>
        <v>1.17</v>
      </c>
      <c r="J3088" s="303"/>
    </row>
    <row r="3089" spans="1:14" s="67" customFormat="1" ht="24.75" customHeight="1">
      <c r="A3089" s="303"/>
      <c r="B3089" s="302" t="s">
        <v>645</v>
      </c>
      <c r="C3089" s="294">
        <v>-1</v>
      </c>
      <c r="D3089" s="294">
        <v>1</v>
      </c>
      <c r="E3089" s="294">
        <v>1</v>
      </c>
      <c r="F3089" s="295">
        <v>1.2</v>
      </c>
      <c r="G3089" s="295"/>
      <c r="H3089" s="295">
        <v>1.35</v>
      </c>
      <c r="I3089" s="298">
        <f t="shared" si="140"/>
        <v>-1.62</v>
      </c>
      <c r="J3089" s="303"/>
    </row>
    <row r="3090" spans="1:14" s="69" customFormat="1" ht="24.75" customHeight="1">
      <c r="A3090" s="470"/>
      <c r="B3090" s="302" t="s">
        <v>644</v>
      </c>
      <c r="C3090" s="294">
        <v>1</v>
      </c>
      <c r="D3090" s="294">
        <v>1</v>
      </c>
      <c r="E3090" s="294">
        <v>1</v>
      </c>
      <c r="F3090" s="295">
        <v>5.0999999999999996</v>
      </c>
      <c r="G3090" s="295">
        <v>0.23</v>
      </c>
      <c r="H3090" s="295"/>
      <c r="I3090" s="298">
        <f t="shared" si="140"/>
        <v>1.17</v>
      </c>
      <c r="J3090" s="470"/>
      <c r="N3090" s="69">
        <f>1.2+1.35+1.2+1.35</f>
        <v>5.0999999999999996</v>
      </c>
    </row>
    <row r="3091" spans="1:14" s="67" customFormat="1" ht="24.75" customHeight="1">
      <c r="A3091" s="303"/>
      <c r="B3091" s="302" t="s">
        <v>640</v>
      </c>
      <c r="C3091" s="294">
        <v>-1</v>
      </c>
      <c r="D3091" s="294">
        <v>1</v>
      </c>
      <c r="E3091" s="294">
        <v>1</v>
      </c>
      <c r="F3091" s="295">
        <v>1.5</v>
      </c>
      <c r="G3091" s="295"/>
      <c r="H3091" s="295">
        <v>1.35</v>
      </c>
      <c r="I3091" s="298">
        <f t="shared" si="140"/>
        <v>-2.0299999999999998</v>
      </c>
      <c r="J3091" s="303"/>
    </row>
    <row r="3092" spans="1:14" s="67" customFormat="1" ht="24.75" customHeight="1">
      <c r="A3092" s="303"/>
      <c r="B3092" s="302" t="s">
        <v>639</v>
      </c>
      <c r="C3092" s="294">
        <v>1</v>
      </c>
      <c r="D3092" s="294">
        <v>1</v>
      </c>
      <c r="E3092" s="294">
        <v>1</v>
      </c>
      <c r="F3092" s="295">
        <v>5.7</v>
      </c>
      <c r="G3092" s="295">
        <v>0.23</v>
      </c>
      <c r="H3092" s="295"/>
      <c r="I3092" s="298">
        <f t="shared" si="140"/>
        <v>1.31</v>
      </c>
      <c r="J3092" s="303"/>
    </row>
    <row r="3093" spans="1:14" s="67" customFormat="1" ht="24.75" customHeight="1">
      <c r="A3093" s="303"/>
      <c r="B3093" s="302" t="s">
        <v>643</v>
      </c>
      <c r="C3093" s="294">
        <v>1</v>
      </c>
      <c r="D3093" s="294">
        <v>1</v>
      </c>
      <c r="E3093" s="294">
        <v>3</v>
      </c>
      <c r="F3093" s="300">
        <v>3.4649999999999999</v>
      </c>
      <c r="G3093" s="300"/>
      <c r="H3093" s="294">
        <v>2.9249999999999998</v>
      </c>
      <c r="I3093" s="298">
        <f t="shared" si="140"/>
        <v>30.41</v>
      </c>
      <c r="J3093" s="303"/>
    </row>
    <row r="3094" spans="1:14" s="67" customFormat="1" ht="24.75" customHeight="1">
      <c r="A3094" s="303"/>
      <c r="B3094" s="302" t="s">
        <v>426</v>
      </c>
      <c r="C3094" s="294" t="s">
        <v>642</v>
      </c>
      <c r="D3094" s="294">
        <v>1</v>
      </c>
      <c r="E3094" s="294">
        <v>2</v>
      </c>
      <c r="F3094" s="295">
        <v>0.9</v>
      </c>
      <c r="G3094" s="300"/>
      <c r="H3094" s="300">
        <v>2.1</v>
      </c>
      <c r="I3094" s="298">
        <f t="shared" si="140"/>
        <v>3.78</v>
      </c>
      <c r="J3094" s="303"/>
    </row>
    <row r="3095" spans="1:14" s="67" customFormat="1" ht="24.75" customHeight="1">
      <c r="A3095" s="303"/>
      <c r="B3095" s="302" t="s">
        <v>641</v>
      </c>
      <c r="C3095" s="294">
        <v>1</v>
      </c>
      <c r="D3095" s="294">
        <v>1</v>
      </c>
      <c r="E3095" s="294">
        <v>1</v>
      </c>
      <c r="F3095" s="295">
        <v>3.79</v>
      </c>
      <c r="G3095" s="300"/>
      <c r="H3095" s="294">
        <v>2.9249999999999998</v>
      </c>
      <c r="I3095" s="298">
        <f t="shared" si="140"/>
        <v>11.09</v>
      </c>
      <c r="J3095" s="303"/>
    </row>
    <row r="3096" spans="1:14" s="69" customFormat="1" ht="24.75" customHeight="1">
      <c r="A3096" s="470"/>
      <c r="B3096" s="302" t="s">
        <v>640</v>
      </c>
      <c r="C3096" s="294">
        <v>-1</v>
      </c>
      <c r="D3096" s="294">
        <v>1</v>
      </c>
      <c r="E3096" s="294">
        <v>2</v>
      </c>
      <c r="F3096" s="295">
        <v>1.5</v>
      </c>
      <c r="G3096" s="295"/>
      <c r="H3096" s="295">
        <v>1.35</v>
      </c>
      <c r="I3096" s="298">
        <f t="shared" si="140"/>
        <v>-4.05</v>
      </c>
      <c r="J3096" s="470"/>
    </row>
    <row r="3097" spans="1:14" s="69" customFormat="1" ht="24.75" customHeight="1">
      <c r="A3097" s="470"/>
      <c r="B3097" s="302" t="s">
        <v>639</v>
      </c>
      <c r="C3097" s="294">
        <v>1</v>
      </c>
      <c r="D3097" s="294">
        <v>1</v>
      </c>
      <c r="E3097" s="294">
        <v>2</v>
      </c>
      <c r="F3097" s="295">
        <v>5.7</v>
      </c>
      <c r="G3097" s="295">
        <v>0.23</v>
      </c>
      <c r="H3097" s="295"/>
      <c r="I3097" s="298">
        <f t="shared" si="140"/>
        <v>2.62</v>
      </c>
      <c r="J3097" s="470"/>
    </row>
    <row r="3098" spans="1:14" s="67" customFormat="1" ht="24.75" customHeight="1">
      <c r="A3098" s="303"/>
      <c r="B3098" s="302" t="s">
        <v>638</v>
      </c>
      <c r="C3098" s="294">
        <v>1</v>
      </c>
      <c r="D3098" s="294">
        <v>1</v>
      </c>
      <c r="E3098" s="294">
        <v>1</v>
      </c>
      <c r="F3098" s="295">
        <v>6.83</v>
      </c>
      <c r="G3098" s="300"/>
      <c r="H3098" s="294">
        <v>2.9249999999999998</v>
      </c>
      <c r="I3098" s="298">
        <f t="shared" si="140"/>
        <v>19.98</v>
      </c>
      <c r="J3098" s="303"/>
      <c r="N3098" s="67">
        <f>2.1+1.315+2.1+1.315</f>
        <v>6.83</v>
      </c>
    </row>
    <row r="3099" spans="1:14" s="67" customFormat="1" ht="24.75" customHeight="1">
      <c r="A3099" s="303"/>
      <c r="B3099" s="302" t="s">
        <v>70</v>
      </c>
      <c r="C3099" s="294">
        <v>-1</v>
      </c>
      <c r="D3099" s="294">
        <v>1</v>
      </c>
      <c r="E3099" s="294">
        <v>1</v>
      </c>
      <c r="F3099" s="295">
        <v>0.75</v>
      </c>
      <c r="G3099" s="300"/>
      <c r="H3099" s="300">
        <v>2.1</v>
      </c>
      <c r="I3099" s="298">
        <f t="shared" si="140"/>
        <v>-1.58</v>
      </c>
      <c r="J3099" s="303"/>
    </row>
    <row r="3100" spans="1:14" s="67" customFormat="1" ht="24.75" customHeight="1">
      <c r="A3100" s="303"/>
      <c r="B3100" s="302" t="s">
        <v>637</v>
      </c>
      <c r="C3100" s="294">
        <v>-1</v>
      </c>
      <c r="D3100" s="294">
        <v>1</v>
      </c>
      <c r="E3100" s="294">
        <v>1</v>
      </c>
      <c r="F3100" s="295">
        <v>4.95</v>
      </c>
      <c r="G3100" s="300">
        <v>0.115</v>
      </c>
      <c r="H3100" s="300"/>
      <c r="I3100" s="298">
        <f t="shared" si="140"/>
        <v>-0.56999999999999995</v>
      </c>
      <c r="J3100" s="303"/>
      <c r="N3100" s="67">
        <f>0.75+2.1+2.1</f>
        <v>4.95</v>
      </c>
    </row>
    <row r="3101" spans="1:14" s="67" customFormat="1" ht="24.75" customHeight="1">
      <c r="A3101" s="303"/>
      <c r="B3101" s="302" t="s">
        <v>333</v>
      </c>
      <c r="C3101" s="294">
        <v>-1</v>
      </c>
      <c r="D3101" s="294">
        <v>1</v>
      </c>
      <c r="E3101" s="294">
        <v>1</v>
      </c>
      <c r="F3101" s="295">
        <v>0.75</v>
      </c>
      <c r="G3101" s="300"/>
      <c r="H3101" s="300">
        <v>0.45</v>
      </c>
      <c r="I3101" s="298">
        <f t="shared" si="140"/>
        <v>-0.34</v>
      </c>
      <c r="J3101" s="303"/>
    </row>
    <row r="3102" spans="1:14" s="67" customFormat="1" ht="24.75" customHeight="1">
      <c r="A3102" s="303"/>
      <c r="B3102" s="302" t="s">
        <v>636</v>
      </c>
      <c r="C3102" s="294">
        <v>1</v>
      </c>
      <c r="D3102" s="294">
        <v>1</v>
      </c>
      <c r="E3102" s="294">
        <v>1</v>
      </c>
      <c r="F3102" s="295">
        <v>2.4</v>
      </c>
      <c r="G3102" s="300">
        <v>0.115</v>
      </c>
      <c r="H3102" s="294"/>
      <c r="I3102" s="298">
        <f t="shared" si="140"/>
        <v>0.28000000000000003</v>
      </c>
      <c r="J3102" s="303"/>
      <c r="N3102" s="67">
        <f>0.75+0.45+0.75+0.45</f>
        <v>2.4</v>
      </c>
    </row>
    <row r="3103" spans="1:14" s="67" customFormat="1" ht="24.75" customHeight="1">
      <c r="A3103" s="303"/>
      <c r="B3103" s="302" t="s">
        <v>635</v>
      </c>
      <c r="C3103" s="294">
        <v>1</v>
      </c>
      <c r="D3103" s="294">
        <v>1</v>
      </c>
      <c r="E3103" s="294">
        <v>1</v>
      </c>
      <c r="F3103" s="295">
        <v>4.87</v>
      </c>
      <c r="G3103" s="300"/>
      <c r="H3103" s="294">
        <v>2.9249999999999998</v>
      </c>
      <c r="I3103" s="298">
        <f t="shared" si="140"/>
        <v>14.24</v>
      </c>
      <c r="J3103" s="303"/>
      <c r="N3103" s="67">
        <f>1.265+1.17+1.265+1.17</f>
        <v>4.87</v>
      </c>
    </row>
    <row r="3104" spans="1:14" s="67" customFormat="1" ht="24.75" customHeight="1">
      <c r="A3104" s="303"/>
      <c r="B3104" s="302" t="s">
        <v>70</v>
      </c>
      <c r="C3104" s="294">
        <v>-1</v>
      </c>
      <c r="D3104" s="294">
        <v>1</v>
      </c>
      <c r="E3104" s="294">
        <v>1</v>
      </c>
      <c r="F3104" s="295">
        <v>0.75</v>
      </c>
      <c r="G3104" s="300"/>
      <c r="H3104" s="300">
        <v>2.1</v>
      </c>
      <c r="I3104" s="298">
        <f t="shared" si="140"/>
        <v>-1.58</v>
      </c>
      <c r="J3104" s="303"/>
    </row>
    <row r="3105" spans="1:14" s="67" customFormat="1" ht="24.75" customHeight="1">
      <c r="A3105" s="303"/>
      <c r="B3105" s="302" t="s">
        <v>333</v>
      </c>
      <c r="C3105" s="294">
        <v>-1</v>
      </c>
      <c r="D3105" s="294">
        <v>1</v>
      </c>
      <c r="E3105" s="294">
        <v>1</v>
      </c>
      <c r="F3105" s="295">
        <v>0.75</v>
      </c>
      <c r="G3105" s="300"/>
      <c r="H3105" s="300">
        <v>0.45</v>
      </c>
      <c r="I3105" s="298">
        <f t="shared" si="140"/>
        <v>-0.34</v>
      </c>
      <c r="J3105" s="303"/>
    </row>
    <row r="3106" spans="1:14" s="67" customFormat="1" ht="24.75" customHeight="1">
      <c r="A3106" s="303"/>
      <c r="B3106" s="302" t="s">
        <v>634</v>
      </c>
      <c r="C3106" s="294">
        <v>1</v>
      </c>
      <c r="D3106" s="294">
        <v>1</v>
      </c>
      <c r="E3106" s="294">
        <v>1</v>
      </c>
      <c r="F3106" s="295">
        <v>14.64</v>
      </c>
      <c r="G3106" s="300"/>
      <c r="H3106" s="294">
        <v>2.9249999999999998</v>
      </c>
      <c r="I3106" s="298">
        <f t="shared" si="140"/>
        <v>42.82</v>
      </c>
      <c r="J3106" s="303"/>
    </row>
    <row r="3107" spans="1:14" s="67" customFormat="1" ht="24.75" customHeight="1">
      <c r="A3107" s="303"/>
      <c r="B3107" s="302" t="s">
        <v>633</v>
      </c>
      <c r="C3107" s="294">
        <v>-1</v>
      </c>
      <c r="D3107" s="294">
        <v>1</v>
      </c>
      <c r="E3107" s="294">
        <v>1</v>
      </c>
      <c r="F3107" s="295">
        <v>2.1</v>
      </c>
      <c r="G3107" s="300"/>
      <c r="H3107" s="300">
        <v>2.1</v>
      </c>
      <c r="I3107" s="298">
        <f t="shared" si="140"/>
        <v>-4.41</v>
      </c>
      <c r="J3107" s="303"/>
    </row>
    <row r="3108" spans="1:14" s="67" customFormat="1" ht="24.75" customHeight="1">
      <c r="A3108" s="303"/>
      <c r="B3108" s="302" t="s">
        <v>632</v>
      </c>
      <c r="C3108" s="294">
        <v>1</v>
      </c>
      <c r="D3108" s="294">
        <v>1</v>
      </c>
      <c r="E3108" s="294">
        <v>1</v>
      </c>
      <c r="F3108" s="295">
        <v>6.3</v>
      </c>
      <c r="G3108" s="300">
        <v>0.23</v>
      </c>
      <c r="H3108" s="300"/>
      <c r="I3108" s="298">
        <f t="shared" si="140"/>
        <v>1.45</v>
      </c>
      <c r="J3108" s="303"/>
      <c r="N3108" s="67">
        <f>2.1+2.1+2.1</f>
        <v>6.3</v>
      </c>
    </row>
    <row r="3109" spans="1:14" s="67" customFormat="1" ht="24.75" customHeight="1">
      <c r="A3109" s="303"/>
      <c r="B3109" s="302" t="s">
        <v>631</v>
      </c>
      <c r="C3109" s="294">
        <v>-1</v>
      </c>
      <c r="D3109" s="294">
        <v>1</v>
      </c>
      <c r="E3109" s="294">
        <v>2</v>
      </c>
      <c r="F3109" s="295">
        <v>1.5</v>
      </c>
      <c r="G3109" s="300"/>
      <c r="H3109" s="300">
        <v>1.35</v>
      </c>
      <c r="I3109" s="298">
        <f t="shared" ref="I3109:I3129" si="141">PRODUCT(C3109:H3109)</f>
        <v>-4.05</v>
      </c>
      <c r="J3109" s="303"/>
    </row>
    <row r="3110" spans="1:14" s="69" customFormat="1" ht="24.75" customHeight="1">
      <c r="A3110" s="470"/>
      <c r="B3110" s="302" t="s">
        <v>630</v>
      </c>
      <c r="C3110" s="294">
        <v>1</v>
      </c>
      <c r="D3110" s="294">
        <v>1</v>
      </c>
      <c r="E3110" s="294">
        <v>2</v>
      </c>
      <c r="F3110" s="295">
        <v>5.7</v>
      </c>
      <c r="G3110" s="295">
        <v>0.23</v>
      </c>
      <c r="H3110" s="512"/>
      <c r="I3110" s="298">
        <f t="shared" si="141"/>
        <v>2.62</v>
      </c>
      <c r="J3110" s="470"/>
    </row>
    <row r="3111" spans="1:14" s="67" customFormat="1" ht="24.75" customHeight="1">
      <c r="A3111" s="303"/>
      <c r="B3111" s="302" t="s">
        <v>629</v>
      </c>
      <c r="C3111" s="294">
        <v>1</v>
      </c>
      <c r="D3111" s="294">
        <v>1</v>
      </c>
      <c r="E3111" s="294">
        <v>1</v>
      </c>
      <c r="F3111" s="295">
        <v>5.6</v>
      </c>
      <c r="G3111" s="300"/>
      <c r="H3111" s="294">
        <v>2.9249999999999998</v>
      </c>
      <c r="I3111" s="298">
        <f t="shared" si="141"/>
        <v>16.38</v>
      </c>
      <c r="J3111" s="303"/>
      <c r="N3111" s="70">
        <f>1.685+1.115+1.685+1.115</f>
        <v>5.6</v>
      </c>
    </row>
    <row r="3112" spans="1:14" s="67" customFormat="1" ht="24.75" customHeight="1">
      <c r="A3112" s="303"/>
      <c r="B3112" s="302" t="s">
        <v>426</v>
      </c>
      <c r="C3112" s="294">
        <v>-1</v>
      </c>
      <c r="D3112" s="294">
        <v>1</v>
      </c>
      <c r="E3112" s="294">
        <v>1</v>
      </c>
      <c r="F3112" s="295">
        <v>0.9</v>
      </c>
      <c r="G3112" s="300"/>
      <c r="H3112" s="300">
        <v>2.1</v>
      </c>
      <c r="I3112" s="298">
        <f t="shared" si="141"/>
        <v>-1.89</v>
      </c>
      <c r="J3112" s="303"/>
    </row>
    <row r="3113" spans="1:14" s="67" customFormat="1" ht="24.75" customHeight="1">
      <c r="A3113" s="303"/>
      <c r="B3113" s="302" t="s">
        <v>628</v>
      </c>
      <c r="C3113" s="294">
        <v>1</v>
      </c>
      <c r="D3113" s="294">
        <v>1</v>
      </c>
      <c r="E3113" s="294">
        <v>1</v>
      </c>
      <c r="F3113" s="295">
        <f>0.9+2.1+2.1</f>
        <v>5.0999999999999996</v>
      </c>
      <c r="G3113" s="300">
        <v>0.115</v>
      </c>
      <c r="H3113" s="300"/>
      <c r="I3113" s="298">
        <f t="shared" si="141"/>
        <v>0.59</v>
      </c>
      <c r="J3113" s="303"/>
    </row>
    <row r="3114" spans="1:14" s="67" customFormat="1" ht="24.75" customHeight="1">
      <c r="A3114" s="303"/>
      <c r="B3114" s="302" t="s">
        <v>585</v>
      </c>
      <c r="C3114" s="294">
        <v>1</v>
      </c>
      <c r="D3114" s="294">
        <v>1</v>
      </c>
      <c r="E3114" s="294">
        <v>1</v>
      </c>
      <c r="F3114" s="295">
        <v>3.9</v>
      </c>
      <c r="G3114" s="300"/>
      <c r="H3114" s="294">
        <v>2.9249999999999998</v>
      </c>
      <c r="I3114" s="298">
        <f t="shared" si="141"/>
        <v>11.41</v>
      </c>
      <c r="J3114" s="303"/>
      <c r="N3114" s="67">
        <f>0.8+1.15+0.8+1.15</f>
        <v>3.9</v>
      </c>
    </row>
    <row r="3115" spans="1:14" s="67" customFormat="1" ht="24.75" customHeight="1">
      <c r="A3115" s="303"/>
      <c r="B3115" s="302" t="s">
        <v>120</v>
      </c>
      <c r="C3115" s="294">
        <v>-1</v>
      </c>
      <c r="D3115" s="294">
        <v>1</v>
      </c>
      <c r="E3115" s="294">
        <v>1</v>
      </c>
      <c r="F3115" s="295">
        <v>1.1499999999999999</v>
      </c>
      <c r="G3115" s="300"/>
      <c r="H3115" s="300">
        <v>2.1</v>
      </c>
      <c r="I3115" s="298">
        <f t="shared" si="141"/>
        <v>-2.42</v>
      </c>
      <c r="J3115" s="303"/>
    </row>
    <row r="3116" spans="1:14" s="67" customFormat="1" ht="24.75" customHeight="1">
      <c r="A3116" s="303"/>
      <c r="B3116" s="302" t="s">
        <v>448</v>
      </c>
      <c r="C3116" s="294">
        <v>1</v>
      </c>
      <c r="D3116" s="294">
        <v>1</v>
      </c>
      <c r="E3116" s="294">
        <v>1</v>
      </c>
      <c r="F3116" s="295">
        <f>1.15+2.1+2.1</f>
        <v>5.35</v>
      </c>
      <c r="G3116" s="300">
        <v>0.115</v>
      </c>
      <c r="H3116" s="300"/>
      <c r="I3116" s="298">
        <f t="shared" si="141"/>
        <v>0.62</v>
      </c>
      <c r="J3116" s="303"/>
    </row>
    <row r="3117" spans="1:14" s="67" customFormat="1" ht="24.75" customHeight="1">
      <c r="A3117" s="303"/>
      <c r="B3117" s="302" t="s">
        <v>627</v>
      </c>
      <c r="C3117" s="294">
        <v>1</v>
      </c>
      <c r="D3117" s="294">
        <v>1</v>
      </c>
      <c r="E3117" s="294">
        <v>4</v>
      </c>
      <c r="F3117" s="295">
        <v>5</v>
      </c>
      <c r="G3117" s="300"/>
      <c r="H3117" s="295">
        <v>0.6</v>
      </c>
      <c r="I3117" s="298">
        <f t="shared" si="141"/>
        <v>12</v>
      </c>
      <c r="J3117" s="303"/>
      <c r="N3117" s="70">
        <f>3.1+1.9</f>
        <v>5</v>
      </c>
    </row>
    <row r="3118" spans="1:14" s="67" customFormat="1" ht="24.75" customHeight="1">
      <c r="A3118" s="303"/>
      <c r="B3118" s="302" t="s">
        <v>626</v>
      </c>
      <c r="C3118" s="294">
        <v>1</v>
      </c>
      <c r="D3118" s="294">
        <v>1</v>
      </c>
      <c r="E3118" s="294">
        <v>4</v>
      </c>
      <c r="F3118" s="295">
        <v>6.1</v>
      </c>
      <c r="G3118" s="300"/>
      <c r="H3118" s="295">
        <v>0.6</v>
      </c>
      <c r="I3118" s="298">
        <f t="shared" si="141"/>
        <v>14.64</v>
      </c>
      <c r="J3118" s="303"/>
      <c r="N3118" s="67">
        <f>1.9+1.83+1.699+0.676</f>
        <v>6.1050000000000004</v>
      </c>
    </row>
    <row r="3119" spans="1:14" s="67" customFormat="1" ht="24.75" customHeight="1">
      <c r="A3119" s="303"/>
      <c r="B3119" s="302" t="s">
        <v>625</v>
      </c>
      <c r="C3119" s="294">
        <v>1</v>
      </c>
      <c r="D3119" s="294">
        <v>1</v>
      </c>
      <c r="E3119" s="294">
        <v>4</v>
      </c>
      <c r="F3119" s="295">
        <v>5.64</v>
      </c>
      <c r="G3119" s="300"/>
      <c r="H3119" s="295">
        <v>0.83</v>
      </c>
      <c r="I3119" s="298">
        <f t="shared" si="141"/>
        <v>18.72</v>
      </c>
      <c r="J3119" s="303"/>
      <c r="N3119" s="67">
        <f>3.33+2.31</f>
        <v>5.64</v>
      </c>
    </row>
    <row r="3120" spans="1:14" s="67" customFormat="1" ht="24.75" customHeight="1">
      <c r="A3120" s="303"/>
      <c r="B3120" s="302" t="s">
        <v>624</v>
      </c>
      <c r="C3120" s="294">
        <v>1</v>
      </c>
      <c r="D3120" s="294">
        <v>1</v>
      </c>
      <c r="E3120" s="294">
        <v>4</v>
      </c>
      <c r="F3120" s="295">
        <v>6.82</v>
      </c>
      <c r="G3120" s="300"/>
      <c r="H3120" s="295">
        <v>0.83</v>
      </c>
      <c r="I3120" s="298">
        <f t="shared" si="141"/>
        <v>22.64</v>
      </c>
      <c r="J3120" s="303"/>
    </row>
    <row r="3121" spans="1:30" s="67" customFormat="1" ht="24.75" customHeight="1">
      <c r="A3121" s="303"/>
      <c r="B3121" s="302" t="s">
        <v>623</v>
      </c>
      <c r="C3121" s="294">
        <v>1</v>
      </c>
      <c r="D3121" s="294">
        <v>1</v>
      </c>
      <c r="E3121" s="294">
        <v>4</v>
      </c>
      <c r="F3121" s="295">
        <v>14.62</v>
      </c>
      <c r="G3121" s="300"/>
      <c r="H3121" s="295">
        <v>2.85</v>
      </c>
      <c r="I3121" s="298">
        <f t="shared" si="141"/>
        <v>166.67</v>
      </c>
      <c r="J3121" s="303"/>
      <c r="N3121" s="67">
        <f>2+1.917+0.774+2.13</f>
        <v>6.8209999999999997</v>
      </c>
    </row>
    <row r="3122" spans="1:30" s="67" customFormat="1" ht="24.75" customHeight="1">
      <c r="A3122" s="303"/>
      <c r="B3122" s="302" t="s">
        <v>622</v>
      </c>
      <c r="C3122" s="294">
        <v>1</v>
      </c>
      <c r="D3122" s="294">
        <v>1</v>
      </c>
      <c r="E3122" s="294">
        <v>3</v>
      </c>
      <c r="F3122" s="295">
        <v>11.43</v>
      </c>
      <c r="G3122" s="300"/>
      <c r="H3122" s="295">
        <v>2.85</v>
      </c>
      <c r="I3122" s="298">
        <f t="shared" si="141"/>
        <v>97.73</v>
      </c>
      <c r="J3122" s="303"/>
      <c r="N3122" s="67">
        <f>4.288+2.85+4.288</f>
        <v>11.426</v>
      </c>
    </row>
    <row r="3123" spans="1:30" s="67" customFormat="1" ht="24.75" customHeight="1">
      <c r="A3123" s="303"/>
      <c r="B3123" s="302" t="s">
        <v>231</v>
      </c>
      <c r="C3123" s="294">
        <v>-1</v>
      </c>
      <c r="D3123" s="294">
        <v>3</v>
      </c>
      <c r="E3123" s="294">
        <v>2</v>
      </c>
      <c r="F3123" s="295">
        <v>1.2</v>
      </c>
      <c r="G3123" s="300"/>
      <c r="H3123" s="295">
        <v>1.35</v>
      </c>
      <c r="I3123" s="298">
        <f t="shared" si="141"/>
        <v>-9.7200000000000006</v>
      </c>
      <c r="J3123" s="303"/>
    </row>
    <row r="3124" spans="1:30" s="67" customFormat="1" ht="24.75" customHeight="1">
      <c r="A3124" s="303"/>
      <c r="B3124" s="302" t="s">
        <v>621</v>
      </c>
      <c r="C3124" s="294">
        <v>1</v>
      </c>
      <c r="D3124" s="294">
        <v>3</v>
      </c>
      <c r="E3124" s="294">
        <v>2</v>
      </c>
      <c r="F3124" s="295">
        <v>5.4</v>
      </c>
      <c r="G3124" s="295">
        <v>0.23</v>
      </c>
      <c r="H3124" s="295"/>
      <c r="I3124" s="298">
        <f t="shared" si="141"/>
        <v>7.45</v>
      </c>
      <c r="J3124" s="303"/>
      <c r="N3124" s="67">
        <f>1.2+1.5+1.2+1.5</f>
        <v>5.4</v>
      </c>
    </row>
    <row r="3125" spans="1:30" s="6" customFormat="1">
      <c r="A3125" s="427"/>
      <c r="B3125" s="427" t="s">
        <v>931</v>
      </c>
      <c r="C3125" s="428">
        <v>1</v>
      </c>
      <c r="D3125" s="428">
        <v>1</v>
      </c>
      <c r="E3125" s="428">
        <v>79</v>
      </c>
      <c r="F3125" s="430">
        <v>1.5</v>
      </c>
      <c r="G3125" s="430"/>
      <c r="H3125" s="430">
        <v>2.65</v>
      </c>
      <c r="I3125" s="430">
        <f t="shared" si="141"/>
        <v>314.02999999999997</v>
      </c>
      <c r="J3125" s="431"/>
    </row>
    <row r="3126" spans="1:30" s="6" customFormat="1">
      <c r="A3126" s="427"/>
      <c r="B3126" s="427" t="s">
        <v>75</v>
      </c>
      <c r="C3126" s="428">
        <v>1</v>
      </c>
      <c r="D3126" s="428">
        <v>1</v>
      </c>
      <c r="E3126" s="428">
        <v>54</v>
      </c>
      <c r="F3126" s="430">
        <v>1.8</v>
      </c>
      <c r="G3126" s="430"/>
      <c r="H3126" s="430">
        <v>2.65</v>
      </c>
      <c r="I3126" s="430">
        <f t="shared" si="141"/>
        <v>257.58</v>
      </c>
      <c r="J3126" s="431"/>
    </row>
    <row r="3127" spans="1:30" s="6" customFormat="1">
      <c r="A3127" s="427"/>
      <c r="B3127" s="427" t="s">
        <v>76</v>
      </c>
      <c r="C3127" s="428">
        <v>1</v>
      </c>
      <c r="D3127" s="428">
        <v>1</v>
      </c>
      <c r="E3127" s="428">
        <v>3</v>
      </c>
      <c r="F3127" s="430">
        <v>1.8</v>
      </c>
      <c r="G3127" s="430"/>
      <c r="H3127" s="430">
        <v>2.65</v>
      </c>
      <c r="I3127" s="430">
        <f t="shared" si="141"/>
        <v>14.31</v>
      </c>
      <c r="J3127" s="431"/>
    </row>
    <row r="3128" spans="1:30" s="6" customFormat="1">
      <c r="A3128" s="427"/>
      <c r="B3128" s="427" t="s">
        <v>485</v>
      </c>
      <c r="C3128" s="428">
        <v>1</v>
      </c>
      <c r="D3128" s="428">
        <v>1</v>
      </c>
      <c r="E3128" s="428">
        <v>7</v>
      </c>
      <c r="F3128" s="430">
        <v>2.1</v>
      </c>
      <c r="G3128" s="430"/>
      <c r="H3128" s="430">
        <v>2.65</v>
      </c>
      <c r="I3128" s="430">
        <f t="shared" si="141"/>
        <v>38.96</v>
      </c>
      <c r="J3128" s="431"/>
    </row>
    <row r="3129" spans="1:30" s="6" customFormat="1">
      <c r="A3129" s="427"/>
      <c r="B3129" s="427" t="s">
        <v>487</v>
      </c>
      <c r="C3129" s="428">
        <v>1</v>
      </c>
      <c r="D3129" s="428">
        <v>1</v>
      </c>
      <c r="E3129" s="428">
        <v>1</v>
      </c>
      <c r="F3129" s="430">
        <v>2.2599999999999998</v>
      </c>
      <c r="G3129" s="430"/>
      <c r="H3129" s="430">
        <v>2.65</v>
      </c>
      <c r="I3129" s="430">
        <f t="shared" si="141"/>
        <v>5.99</v>
      </c>
      <c r="J3129" s="431"/>
    </row>
    <row r="3130" spans="1:30" s="5" customFormat="1" ht="23.25" customHeight="1">
      <c r="A3130" s="289"/>
      <c r="B3130" s="342"/>
      <c r="C3130" s="346"/>
      <c r="D3130" s="280"/>
      <c r="E3130" s="346"/>
      <c r="F3130" s="337"/>
      <c r="G3130" s="595" t="s">
        <v>41</v>
      </c>
      <c r="H3130" s="596"/>
      <c r="I3130" s="416">
        <f>SUM(I3045:I3129)</f>
        <v>1510.67</v>
      </c>
      <c r="J3130" s="343" t="s">
        <v>42</v>
      </c>
      <c r="K3130" s="44"/>
      <c r="L3130" s="44"/>
      <c r="M3130" s="44"/>
      <c r="N3130" s="7"/>
      <c r="O3130" s="7"/>
      <c r="P3130" s="7"/>
      <c r="Q3130" s="7"/>
      <c r="R3130" s="7"/>
      <c r="S3130" s="7"/>
      <c r="T3130" s="7"/>
      <c r="U3130" s="7"/>
      <c r="V3130" s="7"/>
      <c r="W3130" s="7"/>
      <c r="X3130" s="7"/>
      <c r="Y3130" s="7"/>
      <c r="Z3130" s="7"/>
      <c r="AA3130" s="7"/>
      <c r="AB3130" s="7"/>
      <c r="AC3130" s="7"/>
      <c r="AD3130" s="7"/>
    </row>
    <row r="3131" spans="1:30" s="99" customFormat="1" ht="23.25" customHeight="1">
      <c r="A3131" s="289"/>
      <c r="B3131" s="319" t="s">
        <v>410</v>
      </c>
      <c r="C3131" s="294"/>
      <c r="D3131" s="280"/>
      <c r="E3131" s="294"/>
      <c r="F3131" s="338"/>
      <c r="G3131" s="338"/>
      <c r="H3131" s="338"/>
      <c r="I3131" s="347"/>
      <c r="J3131" s="340"/>
      <c r="K3131" s="39"/>
      <c r="L3131" s="39"/>
      <c r="M3131" s="39"/>
      <c r="N3131" s="100"/>
      <c r="O3131" s="100"/>
      <c r="P3131" s="100"/>
      <c r="Q3131" s="100"/>
      <c r="R3131" s="100"/>
      <c r="S3131" s="100"/>
      <c r="T3131" s="100"/>
      <c r="U3131" s="100"/>
      <c r="V3131" s="100"/>
      <c r="W3131" s="100"/>
      <c r="X3131" s="100"/>
      <c r="Y3131" s="100"/>
      <c r="Z3131" s="100"/>
      <c r="AA3131" s="100"/>
      <c r="AB3131" s="100"/>
      <c r="AC3131" s="100"/>
      <c r="AD3131" s="100"/>
    </row>
    <row r="3132" spans="1:30" s="65" customFormat="1" ht="23.25" customHeight="1">
      <c r="A3132" s="294"/>
      <c r="B3132" s="320" t="s">
        <v>409</v>
      </c>
      <c r="C3132" s="294"/>
      <c r="D3132" s="294"/>
      <c r="E3132" s="294"/>
      <c r="F3132" s="300"/>
      <c r="G3132" s="300"/>
      <c r="H3132" s="295"/>
      <c r="I3132" s="298"/>
      <c r="J3132" s="322"/>
    </row>
    <row r="3133" spans="1:30" s="65" customFormat="1" ht="23.25" customHeight="1">
      <c r="A3133" s="294"/>
      <c r="B3133" s="302" t="s">
        <v>408</v>
      </c>
      <c r="C3133" s="294">
        <v>10</v>
      </c>
      <c r="D3133" s="294">
        <v>1</v>
      </c>
      <c r="E3133" s="294">
        <v>1</v>
      </c>
      <c r="F3133" s="295">
        <v>17.059999999999999</v>
      </c>
      <c r="G3133" s="300"/>
      <c r="H3133" s="294">
        <v>2.9249999999999998</v>
      </c>
      <c r="I3133" s="298">
        <f t="shared" ref="I3133:I3142" si="142">PRODUCT(C3133:H3133)</f>
        <v>499.01</v>
      </c>
      <c r="J3133" s="322"/>
      <c r="N3133" s="75">
        <f>5.18+3.35+5.18+3.35</f>
        <v>17.059999999999999</v>
      </c>
    </row>
    <row r="3134" spans="1:30" s="65" customFormat="1" ht="23.25" customHeight="1">
      <c r="A3134" s="294"/>
      <c r="B3134" s="302" t="s">
        <v>407</v>
      </c>
      <c r="C3134" s="294">
        <v>-10</v>
      </c>
      <c r="D3134" s="294">
        <v>1</v>
      </c>
      <c r="E3134" s="294">
        <v>1</v>
      </c>
      <c r="F3134" s="295">
        <v>1</v>
      </c>
      <c r="G3134" s="300"/>
      <c r="H3134" s="295">
        <v>2.1</v>
      </c>
      <c r="I3134" s="298">
        <f t="shared" si="142"/>
        <v>-21</v>
      </c>
      <c r="J3134" s="322"/>
    </row>
    <row r="3135" spans="1:30" s="65" customFormat="1" ht="23.25" customHeight="1">
      <c r="A3135" s="294"/>
      <c r="B3135" s="302" t="s">
        <v>406</v>
      </c>
      <c r="C3135" s="294">
        <v>10</v>
      </c>
      <c r="D3135" s="294">
        <v>1</v>
      </c>
      <c r="E3135" s="294">
        <v>1</v>
      </c>
      <c r="F3135" s="295">
        <v>5.2</v>
      </c>
      <c r="G3135" s="295">
        <v>0.23</v>
      </c>
      <c r="H3135" s="295"/>
      <c r="I3135" s="298">
        <f t="shared" si="142"/>
        <v>11.96</v>
      </c>
      <c r="J3135" s="322"/>
      <c r="N3135" s="65">
        <f>1+2.1+2.1</f>
        <v>5.2</v>
      </c>
      <c r="O3135" s="65">
        <f>0.23</f>
        <v>0.23</v>
      </c>
    </row>
    <row r="3136" spans="1:30" s="65" customFormat="1" ht="23.25" customHeight="1">
      <c r="A3136" s="294"/>
      <c r="B3136" s="302" t="s">
        <v>405</v>
      </c>
      <c r="C3136" s="294">
        <v>-10</v>
      </c>
      <c r="D3136" s="294">
        <v>1</v>
      </c>
      <c r="E3136" s="294">
        <v>2</v>
      </c>
      <c r="F3136" s="295">
        <v>0.9</v>
      </c>
      <c r="G3136" s="300"/>
      <c r="H3136" s="295">
        <v>2.1</v>
      </c>
      <c r="I3136" s="298">
        <f t="shared" si="142"/>
        <v>-37.799999999999997</v>
      </c>
      <c r="J3136" s="322"/>
      <c r="N3136" s="65" t="s">
        <v>53</v>
      </c>
    </row>
    <row r="3137" spans="1:15" s="65" customFormat="1" ht="23.25" customHeight="1">
      <c r="A3137" s="294"/>
      <c r="B3137" s="302" t="s">
        <v>404</v>
      </c>
      <c r="C3137" s="294">
        <v>-10</v>
      </c>
      <c r="D3137" s="294">
        <v>1</v>
      </c>
      <c r="E3137" s="294">
        <v>1</v>
      </c>
      <c r="F3137" s="295">
        <v>1.1499999999999999</v>
      </c>
      <c r="G3137" s="300"/>
      <c r="H3137" s="294">
        <v>2.375</v>
      </c>
      <c r="I3137" s="298">
        <f t="shared" si="142"/>
        <v>-27.31</v>
      </c>
      <c r="J3137" s="322"/>
      <c r="N3137" s="65">
        <f>2.85-0.125</f>
        <v>2.7250000000000001</v>
      </c>
      <c r="O3137" s="65">
        <f>N3137-H3137</f>
        <v>0.35</v>
      </c>
    </row>
    <row r="3138" spans="1:15" s="65" customFormat="1" ht="23.25" customHeight="1">
      <c r="A3138" s="294"/>
      <c r="B3138" s="302" t="s">
        <v>403</v>
      </c>
      <c r="C3138" s="294">
        <v>10</v>
      </c>
      <c r="D3138" s="294">
        <v>1</v>
      </c>
      <c r="E3138" s="294">
        <v>1</v>
      </c>
      <c r="F3138" s="295">
        <v>5.9</v>
      </c>
      <c r="G3138" s="300">
        <v>0.23</v>
      </c>
      <c r="H3138" s="294"/>
      <c r="I3138" s="298">
        <f t="shared" si="142"/>
        <v>13.57</v>
      </c>
      <c r="J3138" s="322"/>
      <c r="N3138" s="80">
        <f>1.15+2.375+2.375</f>
        <v>5.9</v>
      </c>
    </row>
    <row r="3139" spans="1:15" s="65" customFormat="1" ht="23.25" customHeight="1">
      <c r="A3139" s="294"/>
      <c r="B3139" s="302" t="s">
        <v>402</v>
      </c>
      <c r="C3139" s="294">
        <v>-10</v>
      </c>
      <c r="D3139" s="294">
        <v>1</v>
      </c>
      <c r="E3139" s="294">
        <v>1</v>
      </c>
      <c r="F3139" s="295">
        <v>1.5</v>
      </c>
      <c r="G3139" s="300"/>
      <c r="H3139" s="295">
        <v>1.8</v>
      </c>
      <c r="I3139" s="298">
        <f t="shared" si="142"/>
        <v>-27</v>
      </c>
      <c r="J3139" s="322"/>
    </row>
    <row r="3140" spans="1:15" s="65" customFormat="1" ht="23.25" customHeight="1">
      <c r="A3140" s="294"/>
      <c r="B3140" s="302" t="s">
        <v>401</v>
      </c>
      <c r="C3140" s="294">
        <v>10</v>
      </c>
      <c r="D3140" s="294">
        <v>1</v>
      </c>
      <c r="E3140" s="294">
        <v>1</v>
      </c>
      <c r="F3140" s="295">
        <v>6.6</v>
      </c>
      <c r="G3140" s="295">
        <v>0.23</v>
      </c>
      <c r="H3140" s="294"/>
      <c r="I3140" s="298">
        <f t="shared" si="142"/>
        <v>15.18</v>
      </c>
      <c r="J3140" s="322"/>
      <c r="N3140" s="65">
        <f>1.5+1.8+1.5+1.8</f>
        <v>6.6</v>
      </c>
    </row>
    <row r="3141" spans="1:15" s="65" customFormat="1" ht="23.25" customHeight="1">
      <c r="A3141" s="294"/>
      <c r="B3141" s="302" t="s">
        <v>400</v>
      </c>
      <c r="C3141" s="294">
        <v>10</v>
      </c>
      <c r="D3141" s="294">
        <v>1</v>
      </c>
      <c r="E3141" s="294">
        <v>1</v>
      </c>
      <c r="F3141" s="295">
        <v>3.35</v>
      </c>
      <c r="G3141" s="295">
        <v>0.45</v>
      </c>
      <c r="H3141" s="294"/>
      <c r="I3141" s="298">
        <f t="shared" si="142"/>
        <v>15.08</v>
      </c>
      <c r="J3141" s="322"/>
    </row>
    <row r="3142" spans="1:15" s="65" customFormat="1" ht="23.25" customHeight="1">
      <c r="A3142" s="294"/>
      <c r="B3142" s="302" t="s">
        <v>399</v>
      </c>
      <c r="C3142" s="294">
        <v>10</v>
      </c>
      <c r="D3142" s="294">
        <v>2</v>
      </c>
      <c r="E3142" s="294">
        <v>2</v>
      </c>
      <c r="F3142" s="295">
        <v>0.45</v>
      </c>
      <c r="G3142" s="300"/>
      <c r="H3142" s="295">
        <v>2.1</v>
      </c>
      <c r="I3142" s="298">
        <f t="shared" si="142"/>
        <v>37.799999999999997</v>
      </c>
      <c r="J3142" s="322"/>
    </row>
    <row r="3143" spans="1:15" s="65" customFormat="1" ht="23.25" customHeight="1">
      <c r="A3143" s="294"/>
      <c r="B3143" s="320" t="s">
        <v>398</v>
      </c>
      <c r="C3143" s="294"/>
      <c r="D3143" s="294"/>
      <c r="E3143" s="294"/>
      <c r="F3143" s="300"/>
      <c r="G3143" s="300"/>
      <c r="H3143" s="294"/>
      <c r="I3143" s="298"/>
      <c r="J3143" s="322"/>
    </row>
    <row r="3144" spans="1:15" s="65" customFormat="1" ht="23.25" customHeight="1">
      <c r="A3144" s="294"/>
      <c r="B3144" s="302" t="s">
        <v>397</v>
      </c>
      <c r="C3144" s="294">
        <v>10</v>
      </c>
      <c r="D3144" s="294">
        <v>1</v>
      </c>
      <c r="E3144" s="294">
        <v>1</v>
      </c>
      <c r="F3144" s="295">
        <v>13.9</v>
      </c>
      <c r="G3144" s="300"/>
      <c r="H3144" s="294">
        <v>2.9249999999999998</v>
      </c>
      <c r="I3144" s="298">
        <f t="shared" ref="I3144:I3152" si="143">PRODUCT(C3144:H3144)</f>
        <v>406.58</v>
      </c>
      <c r="J3144" s="322"/>
      <c r="N3144" s="80">
        <f>3.6+3.35+3.6+3.35</f>
        <v>13.9</v>
      </c>
    </row>
    <row r="3145" spans="1:15" s="65" customFormat="1" ht="23.25" customHeight="1">
      <c r="A3145" s="294"/>
      <c r="B3145" s="302" t="s">
        <v>374</v>
      </c>
      <c r="C3145" s="294">
        <v>-10</v>
      </c>
      <c r="D3145" s="294">
        <v>1</v>
      </c>
      <c r="E3145" s="294">
        <v>1</v>
      </c>
      <c r="F3145" s="295">
        <v>0.75</v>
      </c>
      <c r="G3145" s="300"/>
      <c r="H3145" s="295">
        <v>2.1</v>
      </c>
      <c r="I3145" s="298">
        <f t="shared" si="143"/>
        <v>-15.75</v>
      </c>
      <c r="J3145" s="322"/>
    </row>
    <row r="3146" spans="1:15" s="65" customFormat="1" ht="23.25" customHeight="1">
      <c r="A3146" s="294"/>
      <c r="B3146" s="302" t="s">
        <v>386</v>
      </c>
      <c r="C3146" s="294">
        <v>-10</v>
      </c>
      <c r="D3146" s="294">
        <v>1</v>
      </c>
      <c r="E3146" s="294">
        <v>1</v>
      </c>
      <c r="F3146" s="295">
        <v>0.9</v>
      </c>
      <c r="G3146" s="300"/>
      <c r="H3146" s="295">
        <v>2.1</v>
      </c>
      <c r="I3146" s="298">
        <f t="shared" si="143"/>
        <v>-18.899999999999999</v>
      </c>
      <c r="J3146" s="322"/>
    </row>
    <row r="3147" spans="1:15" s="65" customFormat="1" ht="23.25" customHeight="1">
      <c r="A3147" s="294"/>
      <c r="B3147" s="302" t="s">
        <v>396</v>
      </c>
      <c r="C3147" s="294">
        <v>-10</v>
      </c>
      <c r="D3147" s="294">
        <v>1</v>
      </c>
      <c r="E3147" s="294">
        <v>1</v>
      </c>
      <c r="F3147" s="295">
        <v>5.0999999999999996</v>
      </c>
      <c r="G3147" s="300">
        <v>1.4999999999999999E-2</v>
      </c>
      <c r="H3147" s="294"/>
      <c r="I3147" s="298">
        <f t="shared" si="143"/>
        <v>-0.77</v>
      </c>
      <c r="J3147" s="322"/>
    </row>
    <row r="3148" spans="1:15" s="65" customFormat="1" ht="23.25" customHeight="1">
      <c r="A3148" s="294"/>
      <c r="B3148" s="302" t="s">
        <v>384</v>
      </c>
      <c r="C3148" s="294">
        <v>-10</v>
      </c>
      <c r="D3148" s="294">
        <v>1</v>
      </c>
      <c r="E3148" s="294">
        <v>1</v>
      </c>
      <c r="F3148" s="295">
        <v>1.8</v>
      </c>
      <c r="G3148" s="300"/>
      <c r="H3148" s="294">
        <v>1.35</v>
      </c>
      <c r="I3148" s="298">
        <f t="shared" si="143"/>
        <v>-24.3</v>
      </c>
      <c r="J3148" s="322"/>
    </row>
    <row r="3149" spans="1:15" s="65" customFormat="1" ht="23.25" customHeight="1">
      <c r="A3149" s="294"/>
      <c r="B3149" s="302" t="s">
        <v>395</v>
      </c>
      <c r="C3149" s="294">
        <v>10</v>
      </c>
      <c r="D3149" s="294">
        <v>1</v>
      </c>
      <c r="E3149" s="294">
        <v>1</v>
      </c>
      <c r="F3149" s="295">
        <v>6.3</v>
      </c>
      <c r="G3149" s="300">
        <v>0.23</v>
      </c>
      <c r="H3149" s="294"/>
      <c r="I3149" s="298">
        <f t="shared" si="143"/>
        <v>14.49</v>
      </c>
      <c r="J3149" s="322"/>
      <c r="N3149" s="65">
        <f>1.8+1.35+1.8+1.35</f>
        <v>6.3</v>
      </c>
    </row>
    <row r="3150" spans="1:15" s="65" customFormat="1" ht="23.25" customHeight="1">
      <c r="A3150" s="294"/>
      <c r="B3150" s="302" t="s">
        <v>362</v>
      </c>
      <c r="C3150" s="294">
        <v>10</v>
      </c>
      <c r="D3150" s="294">
        <v>1</v>
      </c>
      <c r="E3150" s="294">
        <v>1</v>
      </c>
      <c r="F3150" s="295">
        <v>3.35</v>
      </c>
      <c r="G3150" s="300">
        <v>0.6</v>
      </c>
      <c r="H3150" s="294"/>
      <c r="I3150" s="298">
        <f t="shared" si="143"/>
        <v>20.100000000000001</v>
      </c>
      <c r="J3150" s="322"/>
    </row>
    <row r="3151" spans="1:15" s="65" customFormat="1" ht="23.25" customHeight="1">
      <c r="A3151" s="294"/>
      <c r="B3151" s="302" t="s">
        <v>394</v>
      </c>
      <c r="C3151" s="294">
        <v>10</v>
      </c>
      <c r="D3151" s="294">
        <v>1</v>
      </c>
      <c r="E3151" s="294">
        <v>2</v>
      </c>
      <c r="F3151" s="295">
        <v>0.6</v>
      </c>
      <c r="G3151" s="300"/>
      <c r="H3151" s="295">
        <v>2</v>
      </c>
      <c r="I3151" s="298">
        <f t="shared" si="143"/>
        <v>24</v>
      </c>
      <c r="J3151" s="322"/>
    </row>
    <row r="3152" spans="1:15" s="65" customFormat="1" ht="23.25" customHeight="1">
      <c r="A3152" s="294"/>
      <c r="B3152" s="302" t="s">
        <v>393</v>
      </c>
      <c r="C3152" s="294">
        <v>10</v>
      </c>
      <c r="D3152" s="294">
        <v>1</v>
      </c>
      <c r="E3152" s="294">
        <v>2</v>
      </c>
      <c r="F3152" s="295">
        <v>0.45</v>
      </c>
      <c r="G3152" s="300"/>
      <c r="H3152" s="295">
        <v>2</v>
      </c>
      <c r="I3152" s="298">
        <f t="shared" si="143"/>
        <v>18</v>
      </c>
      <c r="J3152" s="322"/>
    </row>
    <row r="3153" spans="1:15" s="95" customFormat="1" ht="23.25" customHeight="1">
      <c r="A3153" s="289"/>
      <c r="B3153" s="320" t="s">
        <v>392</v>
      </c>
      <c r="C3153" s="289"/>
      <c r="D3153" s="289"/>
      <c r="E3153" s="289"/>
      <c r="F3153" s="513"/>
      <c r="G3153" s="513"/>
      <c r="H3153" s="289"/>
      <c r="I3153" s="291"/>
      <c r="J3153" s="324"/>
    </row>
    <row r="3154" spans="1:15" s="65" customFormat="1" ht="23.25" customHeight="1">
      <c r="A3154" s="294"/>
      <c r="B3154" s="302" t="s">
        <v>391</v>
      </c>
      <c r="C3154" s="294">
        <v>10</v>
      </c>
      <c r="D3154" s="294">
        <v>1</v>
      </c>
      <c r="E3154" s="294">
        <v>1</v>
      </c>
      <c r="F3154" s="295">
        <v>6.97</v>
      </c>
      <c r="G3154" s="300"/>
      <c r="H3154" s="294">
        <v>2.4249999999999998</v>
      </c>
      <c r="I3154" s="298">
        <f>PRODUCT(C3154:H3154)</f>
        <v>169.02</v>
      </c>
      <c r="J3154" s="322"/>
      <c r="N3154" s="65">
        <f>1.2+2.285+1.2+2.285</f>
        <v>6.97</v>
      </c>
      <c r="O3154" s="65">
        <f>2.85-0.125-0.3</f>
        <v>2.4249999999999998</v>
      </c>
    </row>
    <row r="3155" spans="1:15" s="65" customFormat="1" ht="23.25" customHeight="1">
      <c r="A3155" s="294"/>
      <c r="B3155" s="302" t="s">
        <v>390</v>
      </c>
      <c r="C3155" s="294">
        <v>-10</v>
      </c>
      <c r="D3155" s="294">
        <v>1</v>
      </c>
      <c r="E3155" s="294">
        <v>1</v>
      </c>
      <c r="F3155" s="295">
        <v>0.75</v>
      </c>
      <c r="G3155" s="300"/>
      <c r="H3155" s="295">
        <v>2.1</v>
      </c>
      <c r="I3155" s="298">
        <f>PRODUCT(C3155:H3155)</f>
        <v>-15.75</v>
      </c>
      <c r="J3155" s="322"/>
      <c r="N3155" s="65">
        <f>0.75+2.1+2.1</f>
        <v>4.95</v>
      </c>
    </row>
    <row r="3156" spans="1:15" s="65" customFormat="1" ht="23.25" customHeight="1">
      <c r="A3156" s="294"/>
      <c r="B3156" s="302" t="s">
        <v>389</v>
      </c>
      <c r="C3156" s="294">
        <v>10</v>
      </c>
      <c r="D3156" s="294">
        <v>1</v>
      </c>
      <c r="E3156" s="294">
        <v>1</v>
      </c>
      <c r="F3156" s="295">
        <v>4.95</v>
      </c>
      <c r="G3156" s="300">
        <v>0.115</v>
      </c>
      <c r="H3156" s="294"/>
      <c r="I3156" s="298">
        <f>PRODUCT(C3156:H3156)</f>
        <v>5.69</v>
      </c>
      <c r="J3156" s="322"/>
    </row>
    <row r="3157" spans="1:15" s="65" customFormat="1" ht="23.25" customHeight="1">
      <c r="A3157" s="294"/>
      <c r="B3157" s="302" t="s">
        <v>372</v>
      </c>
      <c r="C3157" s="294">
        <v>-10</v>
      </c>
      <c r="D3157" s="294">
        <v>1</v>
      </c>
      <c r="E3157" s="294">
        <v>1</v>
      </c>
      <c r="F3157" s="295">
        <v>0.75</v>
      </c>
      <c r="G3157" s="300"/>
      <c r="H3157" s="294">
        <v>0.75</v>
      </c>
      <c r="I3157" s="298">
        <f>PRODUCT(C3157:H3157)</f>
        <v>-5.63</v>
      </c>
      <c r="J3157" s="322"/>
    </row>
    <row r="3158" spans="1:15" s="65" customFormat="1" ht="23.25" customHeight="1">
      <c r="A3158" s="294"/>
      <c r="B3158" s="302" t="s">
        <v>371</v>
      </c>
      <c r="C3158" s="294">
        <v>10</v>
      </c>
      <c r="D3158" s="294">
        <v>1</v>
      </c>
      <c r="E3158" s="294">
        <v>1</v>
      </c>
      <c r="F3158" s="295">
        <v>3</v>
      </c>
      <c r="G3158" s="300">
        <v>0.23</v>
      </c>
      <c r="H3158" s="294"/>
      <c r="I3158" s="298">
        <f>PRODUCT(C3158:H3158)</f>
        <v>6.9</v>
      </c>
      <c r="J3158" s="322"/>
      <c r="N3158" s="98">
        <f>0.75+0.75+0.75+0.75</f>
        <v>3</v>
      </c>
    </row>
    <row r="3159" spans="1:15" s="65" customFormat="1" ht="23.25" customHeight="1">
      <c r="A3159" s="294"/>
      <c r="B3159" s="320" t="s">
        <v>388</v>
      </c>
      <c r="C3159" s="294"/>
      <c r="D3159" s="294"/>
      <c r="E3159" s="294"/>
      <c r="F3159" s="300"/>
      <c r="G3159" s="300"/>
      <c r="H3159" s="295"/>
      <c r="I3159" s="298"/>
      <c r="J3159" s="322"/>
    </row>
    <row r="3160" spans="1:15" s="65" customFormat="1" ht="23.25" customHeight="1">
      <c r="A3160" s="294"/>
      <c r="B3160" s="302" t="s">
        <v>387</v>
      </c>
      <c r="C3160" s="294">
        <v>10</v>
      </c>
      <c r="D3160" s="294">
        <v>1</v>
      </c>
      <c r="E3160" s="294">
        <v>1</v>
      </c>
      <c r="F3160" s="295">
        <v>13.7</v>
      </c>
      <c r="G3160" s="300"/>
      <c r="H3160" s="294">
        <v>2.9249999999999998</v>
      </c>
      <c r="I3160" s="298">
        <f t="shared" ref="I3160:I3169" si="144">PRODUCT(C3160:H3160)</f>
        <v>400.73</v>
      </c>
      <c r="J3160" s="322"/>
      <c r="N3160" s="80">
        <f>3.35+3.5+3.35+3.5</f>
        <v>13.7</v>
      </c>
    </row>
    <row r="3161" spans="1:15" s="65" customFormat="1" ht="23.25" customHeight="1">
      <c r="A3161" s="294"/>
      <c r="B3161" s="302" t="s">
        <v>386</v>
      </c>
      <c r="C3161" s="294">
        <v>-10</v>
      </c>
      <c r="D3161" s="294">
        <v>1</v>
      </c>
      <c r="E3161" s="294">
        <v>1</v>
      </c>
      <c r="F3161" s="295">
        <v>0.9</v>
      </c>
      <c r="G3161" s="300"/>
      <c r="H3161" s="295">
        <v>2.1</v>
      </c>
      <c r="I3161" s="298">
        <f t="shared" si="144"/>
        <v>-18.899999999999999</v>
      </c>
      <c r="J3161" s="322"/>
    </row>
    <row r="3162" spans="1:15" s="65" customFormat="1" ht="23.25" customHeight="1">
      <c r="A3162" s="294"/>
      <c r="B3162" s="302" t="s">
        <v>385</v>
      </c>
      <c r="C3162" s="294">
        <v>10</v>
      </c>
      <c r="D3162" s="294">
        <v>1</v>
      </c>
      <c r="E3162" s="294">
        <v>1</v>
      </c>
      <c r="F3162" s="295">
        <v>5.0999999999999996</v>
      </c>
      <c r="G3162" s="300">
        <v>1.4999999999999999E-2</v>
      </c>
      <c r="H3162" s="294"/>
      <c r="I3162" s="298">
        <f t="shared" si="144"/>
        <v>0.77</v>
      </c>
      <c r="J3162" s="322"/>
    </row>
    <row r="3163" spans="1:15" s="65" customFormat="1" ht="23.25" customHeight="1">
      <c r="A3163" s="294"/>
      <c r="B3163" s="302" t="s">
        <v>384</v>
      </c>
      <c r="C3163" s="294">
        <v>-12</v>
      </c>
      <c r="D3163" s="294">
        <v>1</v>
      </c>
      <c r="E3163" s="294">
        <v>1</v>
      </c>
      <c r="F3163" s="295">
        <v>1.8</v>
      </c>
      <c r="G3163" s="300"/>
      <c r="H3163" s="294">
        <v>1.35</v>
      </c>
      <c r="I3163" s="298">
        <f t="shared" si="144"/>
        <v>-29.16</v>
      </c>
      <c r="J3163" s="322"/>
    </row>
    <row r="3164" spans="1:15" s="65" customFormat="1" ht="23.25" customHeight="1">
      <c r="A3164" s="294"/>
      <c r="B3164" s="302" t="s">
        <v>383</v>
      </c>
      <c r="C3164" s="294">
        <v>12</v>
      </c>
      <c r="D3164" s="294">
        <v>1</v>
      </c>
      <c r="E3164" s="294">
        <v>1</v>
      </c>
      <c r="F3164" s="295">
        <v>6.3</v>
      </c>
      <c r="G3164" s="300">
        <v>0.23</v>
      </c>
      <c r="H3164" s="294"/>
      <c r="I3164" s="298">
        <f t="shared" si="144"/>
        <v>17.39</v>
      </c>
      <c r="J3164" s="322"/>
    </row>
    <row r="3165" spans="1:15" s="65" customFormat="1" ht="23.25" customHeight="1">
      <c r="A3165" s="294"/>
      <c r="B3165" s="302" t="s">
        <v>382</v>
      </c>
      <c r="C3165" s="294">
        <v>-8</v>
      </c>
      <c r="D3165" s="294">
        <v>1</v>
      </c>
      <c r="E3165" s="294">
        <v>1</v>
      </c>
      <c r="F3165" s="295">
        <v>1.5</v>
      </c>
      <c r="G3165" s="300"/>
      <c r="H3165" s="294">
        <v>1.35</v>
      </c>
      <c r="I3165" s="298">
        <f t="shared" si="144"/>
        <v>-16.2</v>
      </c>
      <c r="J3165" s="322"/>
    </row>
    <row r="3166" spans="1:15" s="65" customFormat="1" ht="23.25" customHeight="1">
      <c r="A3166" s="294"/>
      <c r="B3166" s="302" t="s">
        <v>381</v>
      </c>
      <c r="C3166" s="294">
        <v>8</v>
      </c>
      <c r="D3166" s="294">
        <v>1</v>
      </c>
      <c r="E3166" s="294">
        <v>1</v>
      </c>
      <c r="F3166" s="295">
        <f>1.5+1.35+1.5+1.35</f>
        <v>5.7</v>
      </c>
      <c r="G3166" s="300">
        <v>0.23</v>
      </c>
      <c r="H3166" s="294"/>
      <c r="I3166" s="298">
        <f t="shared" si="144"/>
        <v>10.49</v>
      </c>
      <c r="J3166" s="322"/>
    </row>
    <row r="3167" spans="1:15" s="65" customFormat="1" ht="23.25" customHeight="1">
      <c r="A3167" s="294"/>
      <c r="B3167" s="302" t="s">
        <v>362</v>
      </c>
      <c r="C3167" s="294">
        <v>10</v>
      </c>
      <c r="D3167" s="294">
        <v>1</v>
      </c>
      <c r="E3167" s="294">
        <v>1</v>
      </c>
      <c r="F3167" s="295">
        <v>3.35</v>
      </c>
      <c r="G3167" s="300">
        <v>0.6</v>
      </c>
      <c r="H3167" s="294"/>
      <c r="I3167" s="298">
        <f t="shared" si="144"/>
        <v>20.100000000000001</v>
      </c>
      <c r="J3167" s="322"/>
    </row>
    <row r="3168" spans="1:15" s="65" customFormat="1" ht="23.25" customHeight="1">
      <c r="A3168" s="294"/>
      <c r="B3168" s="302" t="s">
        <v>380</v>
      </c>
      <c r="C3168" s="294">
        <v>10</v>
      </c>
      <c r="D3168" s="294">
        <v>1</v>
      </c>
      <c r="E3168" s="294">
        <v>2</v>
      </c>
      <c r="F3168" s="295">
        <v>0.6</v>
      </c>
      <c r="G3168" s="300"/>
      <c r="H3168" s="295">
        <v>2.1</v>
      </c>
      <c r="I3168" s="298">
        <f t="shared" si="144"/>
        <v>25.2</v>
      </c>
      <c r="J3168" s="322"/>
    </row>
    <row r="3169" spans="1:14" s="65" customFormat="1" ht="23.25" customHeight="1">
      <c r="A3169" s="294"/>
      <c r="B3169" s="302" t="s">
        <v>361</v>
      </c>
      <c r="C3169" s="294">
        <v>10</v>
      </c>
      <c r="D3169" s="294">
        <v>1</v>
      </c>
      <c r="E3169" s="294">
        <v>2</v>
      </c>
      <c r="F3169" s="295">
        <v>0.45</v>
      </c>
      <c r="G3169" s="300"/>
      <c r="H3169" s="295">
        <v>2.1</v>
      </c>
      <c r="I3169" s="298">
        <f t="shared" si="144"/>
        <v>18.899999999999999</v>
      </c>
      <c r="J3169" s="322"/>
    </row>
    <row r="3170" spans="1:14" s="65" customFormat="1" ht="23.25" customHeight="1">
      <c r="A3170" s="294"/>
      <c r="B3170" s="320" t="s">
        <v>379</v>
      </c>
      <c r="C3170" s="294"/>
      <c r="D3170" s="294"/>
      <c r="E3170" s="294"/>
      <c r="F3170" s="300"/>
      <c r="G3170" s="300"/>
      <c r="H3170" s="294"/>
      <c r="I3170" s="298"/>
      <c r="J3170" s="322"/>
    </row>
    <row r="3171" spans="1:14" s="65" customFormat="1" ht="23.25" customHeight="1">
      <c r="A3171" s="294"/>
      <c r="B3171" s="322" t="s">
        <v>378</v>
      </c>
      <c r="C3171" s="294">
        <v>10</v>
      </c>
      <c r="D3171" s="294">
        <v>1</v>
      </c>
      <c r="E3171" s="294">
        <v>1</v>
      </c>
      <c r="F3171" s="295">
        <v>4.74</v>
      </c>
      <c r="G3171" s="300"/>
      <c r="H3171" s="294">
        <v>2.9249999999999998</v>
      </c>
      <c r="I3171" s="298">
        <f t="shared" ref="I3171:I3179" si="145">PRODUCT(C3171:H3171)</f>
        <v>138.65</v>
      </c>
      <c r="J3171" s="322"/>
      <c r="N3171" s="65">
        <f>1.17+1.2+1.17+1.2</f>
        <v>4.74</v>
      </c>
    </row>
    <row r="3172" spans="1:14" s="65" customFormat="1" ht="23.25" customHeight="1">
      <c r="A3172" s="294"/>
      <c r="B3172" s="302" t="s">
        <v>377</v>
      </c>
      <c r="C3172" s="294">
        <v>-10</v>
      </c>
      <c r="D3172" s="294">
        <v>1</v>
      </c>
      <c r="E3172" s="294">
        <v>1</v>
      </c>
      <c r="F3172" s="295">
        <v>1.1499999999999999</v>
      </c>
      <c r="G3172" s="300"/>
      <c r="H3172" s="294">
        <v>2.375</v>
      </c>
      <c r="I3172" s="298">
        <f t="shared" si="145"/>
        <v>-27.31</v>
      </c>
      <c r="J3172" s="322"/>
    </row>
    <row r="3173" spans="1:14" s="65" customFormat="1" ht="23.25" customHeight="1">
      <c r="A3173" s="294"/>
      <c r="B3173" s="302" t="s">
        <v>376</v>
      </c>
      <c r="C3173" s="294">
        <v>-10</v>
      </c>
      <c r="D3173" s="294">
        <v>1</v>
      </c>
      <c r="E3173" s="294">
        <v>1</v>
      </c>
      <c r="F3173" s="295">
        <v>1</v>
      </c>
      <c r="G3173" s="300"/>
      <c r="H3173" s="295">
        <v>2.1</v>
      </c>
      <c r="I3173" s="298">
        <f t="shared" si="145"/>
        <v>-21</v>
      </c>
      <c r="J3173" s="322"/>
    </row>
    <row r="3174" spans="1:14" s="65" customFormat="1" ht="23.25" customHeight="1">
      <c r="A3174" s="294"/>
      <c r="B3174" s="302" t="s">
        <v>374</v>
      </c>
      <c r="C3174" s="294">
        <v>-10</v>
      </c>
      <c r="D3174" s="294">
        <v>1</v>
      </c>
      <c r="E3174" s="294">
        <v>1</v>
      </c>
      <c r="F3174" s="295">
        <v>0.75</v>
      </c>
      <c r="G3174" s="300"/>
      <c r="H3174" s="295">
        <v>2.1</v>
      </c>
      <c r="I3174" s="298">
        <f t="shared" si="145"/>
        <v>-15.75</v>
      </c>
      <c r="J3174" s="322"/>
    </row>
    <row r="3175" spans="1:14" s="65" customFormat="1" ht="23.25" customHeight="1">
      <c r="A3175" s="294"/>
      <c r="B3175" s="320" t="s">
        <v>375</v>
      </c>
      <c r="C3175" s="294">
        <v>10</v>
      </c>
      <c r="D3175" s="294">
        <v>1</v>
      </c>
      <c r="E3175" s="294">
        <v>1</v>
      </c>
      <c r="F3175" s="295">
        <v>6.6</v>
      </c>
      <c r="G3175" s="300"/>
      <c r="H3175" s="294">
        <v>2.375</v>
      </c>
      <c r="I3175" s="298">
        <f t="shared" si="145"/>
        <v>156.75</v>
      </c>
      <c r="J3175" s="322"/>
      <c r="N3175" s="65">
        <f>1.2+2.1+1.2+2.1</f>
        <v>6.6</v>
      </c>
    </row>
    <row r="3176" spans="1:14" s="65" customFormat="1" ht="23.25" customHeight="1">
      <c r="A3176" s="294"/>
      <c r="B3176" s="302" t="s">
        <v>374</v>
      </c>
      <c r="C3176" s="294">
        <v>-10</v>
      </c>
      <c r="D3176" s="294">
        <v>1</v>
      </c>
      <c r="E3176" s="294">
        <v>1</v>
      </c>
      <c r="F3176" s="295">
        <v>0.75</v>
      </c>
      <c r="G3176" s="300"/>
      <c r="H3176" s="295">
        <v>2.1</v>
      </c>
      <c r="I3176" s="298">
        <f t="shared" si="145"/>
        <v>-15.75</v>
      </c>
      <c r="J3176" s="322"/>
    </row>
    <row r="3177" spans="1:14" s="65" customFormat="1" ht="23.25" customHeight="1">
      <c r="A3177" s="294"/>
      <c r="B3177" s="302" t="s">
        <v>373</v>
      </c>
      <c r="C3177" s="294">
        <v>10</v>
      </c>
      <c r="D3177" s="294">
        <v>1</v>
      </c>
      <c r="E3177" s="294">
        <v>1</v>
      </c>
      <c r="F3177" s="295">
        <v>4.95</v>
      </c>
      <c r="G3177" s="300">
        <v>0.115</v>
      </c>
      <c r="H3177" s="294"/>
      <c r="I3177" s="298">
        <f t="shared" si="145"/>
        <v>5.69</v>
      </c>
      <c r="J3177" s="322"/>
    </row>
    <row r="3178" spans="1:14" s="65" customFormat="1" ht="23.25" customHeight="1">
      <c r="A3178" s="294"/>
      <c r="B3178" s="302" t="s">
        <v>372</v>
      </c>
      <c r="C3178" s="294">
        <v>-10</v>
      </c>
      <c r="D3178" s="294">
        <v>1</v>
      </c>
      <c r="E3178" s="294">
        <v>1</v>
      </c>
      <c r="F3178" s="295">
        <v>0.75</v>
      </c>
      <c r="G3178" s="300"/>
      <c r="H3178" s="294">
        <v>0.75</v>
      </c>
      <c r="I3178" s="298">
        <f t="shared" si="145"/>
        <v>-5.63</v>
      </c>
      <c r="J3178" s="322"/>
    </row>
    <row r="3179" spans="1:14" s="65" customFormat="1" ht="23.25" customHeight="1">
      <c r="A3179" s="294"/>
      <c r="B3179" s="302" t="s">
        <v>371</v>
      </c>
      <c r="C3179" s="294">
        <v>10</v>
      </c>
      <c r="D3179" s="294">
        <v>1</v>
      </c>
      <c r="E3179" s="294">
        <v>1</v>
      </c>
      <c r="F3179" s="295">
        <v>3</v>
      </c>
      <c r="G3179" s="300">
        <v>0.23</v>
      </c>
      <c r="H3179" s="294"/>
      <c r="I3179" s="298">
        <f t="shared" si="145"/>
        <v>6.9</v>
      </c>
      <c r="J3179" s="322"/>
      <c r="N3179" s="98">
        <f>0.75+0.75+0.75+0.75</f>
        <v>3</v>
      </c>
    </row>
    <row r="3180" spans="1:14" s="97" customFormat="1" ht="23.25" customHeight="1">
      <c r="A3180" s="467"/>
      <c r="B3180" s="320" t="s">
        <v>370</v>
      </c>
      <c r="C3180" s="467"/>
      <c r="D3180" s="467"/>
      <c r="E3180" s="467"/>
      <c r="F3180" s="512"/>
      <c r="G3180" s="512"/>
      <c r="H3180" s="467"/>
      <c r="I3180" s="514"/>
      <c r="J3180" s="515"/>
    </row>
    <row r="3181" spans="1:14" s="65" customFormat="1" ht="23.25" customHeight="1">
      <c r="A3181" s="294"/>
      <c r="B3181" s="302" t="s">
        <v>369</v>
      </c>
      <c r="C3181" s="294">
        <v>10</v>
      </c>
      <c r="D3181" s="294">
        <v>1</v>
      </c>
      <c r="E3181" s="294">
        <v>1</v>
      </c>
      <c r="F3181" s="295">
        <v>7.8</v>
      </c>
      <c r="G3181" s="300"/>
      <c r="H3181" s="294">
        <v>2.9249999999999998</v>
      </c>
      <c r="I3181" s="298">
        <f>PRODUCT(C3181:H3181)</f>
        <v>228.15</v>
      </c>
      <c r="J3181" s="322"/>
      <c r="N3181" s="65">
        <f>1.1+2.8+1.1+2.8</f>
        <v>7.8</v>
      </c>
    </row>
    <row r="3182" spans="1:14" s="65" customFormat="1" ht="23.25" customHeight="1">
      <c r="A3182" s="294"/>
      <c r="B3182" s="302" t="s">
        <v>358</v>
      </c>
      <c r="C3182" s="294">
        <v>-10</v>
      </c>
      <c r="D3182" s="294">
        <v>1</v>
      </c>
      <c r="E3182" s="294">
        <v>1</v>
      </c>
      <c r="F3182" s="295">
        <v>0.75</v>
      </c>
      <c r="G3182" s="300"/>
      <c r="H3182" s="295">
        <v>2.1</v>
      </c>
      <c r="I3182" s="298">
        <f>PRODUCT(C3182:H3182)</f>
        <v>-15.75</v>
      </c>
      <c r="J3182" s="322"/>
    </row>
    <row r="3183" spans="1:14" s="65" customFormat="1" ht="23.25" customHeight="1">
      <c r="A3183" s="294"/>
      <c r="B3183" s="302" t="s">
        <v>368</v>
      </c>
      <c r="C3183" s="294">
        <v>10</v>
      </c>
      <c r="D3183" s="294">
        <v>1</v>
      </c>
      <c r="E3183" s="294">
        <v>1</v>
      </c>
      <c r="F3183" s="295">
        <f>0.75+2.1+2.1</f>
        <v>4.95</v>
      </c>
      <c r="G3183" s="300">
        <v>0.115</v>
      </c>
      <c r="H3183" s="295"/>
      <c r="I3183" s="298">
        <f>PRODUCT(C3183:H3183)</f>
        <v>5.69</v>
      </c>
      <c r="J3183" s="322"/>
    </row>
    <row r="3184" spans="1:14" s="65" customFormat="1" ht="23.25" customHeight="1">
      <c r="A3184" s="294"/>
      <c r="B3184" s="302" t="s">
        <v>367</v>
      </c>
      <c r="C3184" s="294">
        <v>-10</v>
      </c>
      <c r="D3184" s="294">
        <v>1</v>
      </c>
      <c r="E3184" s="294">
        <v>1</v>
      </c>
      <c r="F3184" s="295">
        <v>1.1000000000000001</v>
      </c>
      <c r="G3184" s="300"/>
      <c r="H3184" s="294">
        <v>1.05</v>
      </c>
      <c r="I3184" s="298">
        <f>PRODUCT(C3184:H3184)</f>
        <v>-11.55</v>
      </c>
      <c r="J3184" s="322"/>
    </row>
    <row r="3185" spans="1:16" s="65" customFormat="1" ht="23.25" customHeight="1">
      <c r="A3185" s="294"/>
      <c r="B3185" s="302" t="s">
        <v>366</v>
      </c>
      <c r="C3185" s="294">
        <v>-10</v>
      </c>
      <c r="D3185" s="294">
        <v>1</v>
      </c>
      <c r="E3185" s="294">
        <v>1</v>
      </c>
      <c r="F3185" s="295">
        <v>1.6</v>
      </c>
      <c r="G3185" s="300"/>
      <c r="H3185" s="295">
        <v>1.5</v>
      </c>
      <c r="I3185" s="298">
        <f>PRODUCT(C3185:H3185)</f>
        <v>-24</v>
      </c>
      <c r="J3185" s="322"/>
      <c r="N3185" s="65">
        <f>2.85-0.125</f>
        <v>2.7250000000000001</v>
      </c>
      <c r="O3185" s="65">
        <f>1.5</f>
        <v>1.5</v>
      </c>
      <c r="P3185" s="65">
        <f>N3185-O3185</f>
        <v>1.2250000000000001</v>
      </c>
    </row>
    <row r="3186" spans="1:16" s="65" customFormat="1" ht="23.25" customHeight="1">
      <c r="A3186" s="294"/>
      <c r="B3186" s="320" t="s">
        <v>365</v>
      </c>
      <c r="C3186" s="294"/>
      <c r="D3186" s="294"/>
      <c r="E3186" s="294"/>
      <c r="F3186" s="300"/>
      <c r="G3186" s="300"/>
      <c r="H3186" s="294"/>
      <c r="I3186" s="298"/>
      <c r="J3186" s="322"/>
    </row>
    <row r="3187" spans="1:16" s="65" customFormat="1" ht="23.25" customHeight="1">
      <c r="A3187" s="294"/>
      <c r="B3187" s="302" t="s">
        <v>364</v>
      </c>
      <c r="C3187" s="294">
        <v>10</v>
      </c>
      <c r="D3187" s="294">
        <v>1</v>
      </c>
      <c r="E3187" s="294">
        <v>1</v>
      </c>
      <c r="F3187" s="295">
        <v>10.4</v>
      </c>
      <c r="G3187" s="300"/>
      <c r="H3187" s="294">
        <v>2.9249999999999998</v>
      </c>
      <c r="I3187" s="298">
        <f t="shared" ref="I3187:I3199" si="146">PRODUCT(C3187:H3187)</f>
        <v>304.2</v>
      </c>
      <c r="J3187" s="322"/>
      <c r="N3187" s="80">
        <f>2.8+2.4+2.8+2.4</f>
        <v>10.4</v>
      </c>
    </row>
    <row r="3188" spans="1:16" s="65" customFormat="1" ht="23.25" customHeight="1">
      <c r="A3188" s="294"/>
      <c r="B3188" s="302" t="s">
        <v>363</v>
      </c>
      <c r="C3188" s="294">
        <v>10</v>
      </c>
      <c r="D3188" s="294">
        <v>1</v>
      </c>
      <c r="E3188" s="294">
        <v>1</v>
      </c>
      <c r="F3188" s="295">
        <v>2.4</v>
      </c>
      <c r="G3188" s="300">
        <v>0.6</v>
      </c>
      <c r="H3188" s="294"/>
      <c r="I3188" s="298">
        <f t="shared" si="146"/>
        <v>14.4</v>
      </c>
      <c r="J3188" s="322"/>
    </row>
    <row r="3189" spans="1:16" s="65" customFormat="1" ht="23.25" customHeight="1">
      <c r="A3189" s="294"/>
      <c r="B3189" s="302" t="s">
        <v>362</v>
      </c>
      <c r="C3189" s="294">
        <v>10</v>
      </c>
      <c r="D3189" s="294">
        <v>1</v>
      </c>
      <c r="E3189" s="294">
        <v>1</v>
      </c>
      <c r="F3189" s="295">
        <v>2.8</v>
      </c>
      <c r="G3189" s="300">
        <v>0.6</v>
      </c>
      <c r="H3189" s="294"/>
      <c r="I3189" s="298">
        <f t="shared" si="146"/>
        <v>16.8</v>
      </c>
      <c r="J3189" s="322"/>
    </row>
    <row r="3190" spans="1:16" s="65" customFormat="1" ht="23.25" customHeight="1">
      <c r="A3190" s="294"/>
      <c r="B3190" s="302" t="s">
        <v>361</v>
      </c>
      <c r="C3190" s="294">
        <v>10</v>
      </c>
      <c r="D3190" s="294">
        <v>2</v>
      </c>
      <c r="E3190" s="294">
        <v>3</v>
      </c>
      <c r="F3190" s="295">
        <v>0.6</v>
      </c>
      <c r="G3190" s="300"/>
      <c r="H3190" s="295">
        <v>2.1</v>
      </c>
      <c r="I3190" s="298">
        <f t="shared" si="146"/>
        <v>75.599999999999994</v>
      </c>
      <c r="J3190" s="322"/>
    </row>
    <row r="3191" spans="1:16" s="65" customFormat="1" ht="23.25" customHeight="1">
      <c r="A3191" s="294"/>
      <c r="B3191" s="302" t="s">
        <v>360</v>
      </c>
      <c r="C3191" s="294">
        <v>-10</v>
      </c>
      <c r="D3191" s="294">
        <v>1</v>
      </c>
      <c r="E3191" s="294">
        <v>1</v>
      </c>
      <c r="F3191" s="295">
        <v>1.1000000000000001</v>
      </c>
      <c r="G3191" s="300"/>
      <c r="H3191" s="294">
        <v>1.05</v>
      </c>
      <c r="I3191" s="298">
        <f t="shared" si="146"/>
        <v>-11.55</v>
      </c>
      <c r="J3191" s="322"/>
    </row>
    <row r="3192" spans="1:16" s="65" customFormat="1" ht="23.25" customHeight="1">
      <c r="A3192" s="294"/>
      <c r="B3192" s="302" t="s">
        <v>359</v>
      </c>
      <c r="C3192" s="294">
        <v>10</v>
      </c>
      <c r="D3192" s="294">
        <v>1</v>
      </c>
      <c r="E3192" s="294">
        <v>1</v>
      </c>
      <c r="F3192" s="295">
        <v>4.3</v>
      </c>
      <c r="G3192" s="300">
        <v>0.23</v>
      </c>
      <c r="H3192" s="294"/>
      <c r="I3192" s="298">
        <f t="shared" si="146"/>
        <v>9.89</v>
      </c>
      <c r="J3192" s="322"/>
      <c r="N3192" s="80">
        <f>1.1+1.05+1.1+1.05</f>
        <v>4.3</v>
      </c>
    </row>
    <row r="3193" spans="1:16" s="65" customFormat="1" ht="23.25" customHeight="1">
      <c r="A3193" s="294"/>
      <c r="B3193" s="302" t="s">
        <v>358</v>
      </c>
      <c r="C3193" s="294">
        <v>-10</v>
      </c>
      <c r="D3193" s="294">
        <v>1</v>
      </c>
      <c r="E3193" s="294">
        <v>1</v>
      </c>
      <c r="F3193" s="295">
        <v>0.75</v>
      </c>
      <c r="G3193" s="300"/>
      <c r="H3193" s="295">
        <v>2.1</v>
      </c>
      <c r="I3193" s="298">
        <f t="shared" si="146"/>
        <v>-15.75</v>
      </c>
      <c r="J3193" s="322"/>
    </row>
    <row r="3194" spans="1:16" s="65" customFormat="1" ht="23.25" customHeight="1">
      <c r="A3194" s="294"/>
      <c r="B3194" s="302" t="s">
        <v>138</v>
      </c>
      <c r="C3194" s="294">
        <v>-10</v>
      </c>
      <c r="D3194" s="294">
        <v>1</v>
      </c>
      <c r="E3194" s="294">
        <v>1</v>
      </c>
      <c r="F3194" s="295">
        <v>1</v>
      </c>
      <c r="G3194" s="300"/>
      <c r="H3194" s="295">
        <v>2.1</v>
      </c>
      <c r="I3194" s="298">
        <f t="shared" si="146"/>
        <v>-21</v>
      </c>
      <c r="J3194" s="322"/>
    </row>
    <row r="3195" spans="1:16" s="65" customFormat="1" ht="23.25" customHeight="1">
      <c r="A3195" s="294"/>
      <c r="B3195" s="302" t="s">
        <v>357</v>
      </c>
      <c r="C3195" s="294">
        <v>10</v>
      </c>
      <c r="D3195" s="294">
        <v>1</v>
      </c>
      <c r="E3195" s="294">
        <v>1</v>
      </c>
      <c r="F3195" s="295">
        <f>1+2.1+2.1</f>
        <v>5.2</v>
      </c>
      <c r="G3195" s="300">
        <v>0.115</v>
      </c>
      <c r="H3195" s="294"/>
      <c r="I3195" s="298">
        <f t="shared" si="146"/>
        <v>5.98</v>
      </c>
      <c r="J3195" s="322"/>
    </row>
    <row r="3196" spans="1:16" s="65" customFormat="1" ht="23.25" customHeight="1">
      <c r="A3196" s="294"/>
      <c r="B3196" s="302" t="s">
        <v>356</v>
      </c>
      <c r="C3196" s="294">
        <v>10</v>
      </c>
      <c r="D3196" s="294">
        <v>1</v>
      </c>
      <c r="E3196" s="294">
        <v>1</v>
      </c>
      <c r="F3196" s="295">
        <v>7.26</v>
      </c>
      <c r="G3196" s="300"/>
      <c r="H3196" s="294">
        <v>2.9249999999999998</v>
      </c>
      <c r="I3196" s="298">
        <f t="shared" si="146"/>
        <v>212.36</v>
      </c>
      <c r="J3196" s="322"/>
      <c r="N3196" s="65">
        <f>2.015+1.615+2.015+1.615</f>
        <v>7.26</v>
      </c>
    </row>
    <row r="3197" spans="1:16" s="65" customFormat="1" ht="23.25" customHeight="1">
      <c r="A3197" s="294"/>
      <c r="B3197" s="302" t="s">
        <v>94</v>
      </c>
      <c r="C3197" s="294">
        <v>-10</v>
      </c>
      <c r="D3197" s="294">
        <v>1</v>
      </c>
      <c r="E3197" s="294">
        <v>1</v>
      </c>
      <c r="F3197" s="295">
        <v>1</v>
      </c>
      <c r="G3197" s="300"/>
      <c r="H3197" s="295">
        <v>2.1</v>
      </c>
      <c r="I3197" s="298">
        <f t="shared" si="146"/>
        <v>-21</v>
      </c>
      <c r="J3197" s="322"/>
    </row>
    <row r="3198" spans="1:16" s="65" customFormat="1" ht="23.25" customHeight="1">
      <c r="A3198" s="294"/>
      <c r="B3198" s="302" t="s">
        <v>140</v>
      </c>
      <c r="C3198" s="294">
        <v>-10</v>
      </c>
      <c r="D3198" s="294">
        <v>1</v>
      </c>
      <c r="E3198" s="294">
        <v>1</v>
      </c>
      <c r="F3198" s="295">
        <v>1</v>
      </c>
      <c r="G3198" s="300"/>
      <c r="H3198" s="295">
        <v>2.1</v>
      </c>
      <c r="I3198" s="298">
        <f t="shared" si="146"/>
        <v>-21</v>
      </c>
      <c r="J3198" s="322"/>
    </row>
    <row r="3199" spans="1:16" s="65" customFormat="1" ht="23.25" customHeight="1">
      <c r="A3199" s="294"/>
      <c r="B3199" s="302" t="s">
        <v>355</v>
      </c>
      <c r="C3199" s="294">
        <v>10</v>
      </c>
      <c r="D3199" s="294">
        <v>1</v>
      </c>
      <c r="E3199" s="294">
        <v>1</v>
      </c>
      <c r="F3199" s="295">
        <v>5.2</v>
      </c>
      <c r="G3199" s="300">
        <v>0.115</v>
      </c>
      <c r="H3199" s="294"/>
      <c r="I3199" s="298">
        <f t="shared" si="146"/>
        <v>5.98</v>
      </c>
      <c r="J3199" s="322"/>
      <c r="N3199" s="65">
        <f>1+2.1+2.1</f>
        <v>5.2</v>
      </c>
    </row>
    <row r="3200" spans="1:16" s="65" customFormat="1" ht="23.25" customHeight="1">
      <c r="A3200" s="294"/>
      <c r="B3200" s="320" t="s">
        <v>354</v>
      </c>
      <c r="C3200" s="294"/>
      <c r="D3200" s="294"/>
      <c r="E3200" s="294"/>
      <c r="F3200" s="300"/>
      <c r="G3200" s="300"/>
      <c r="H3200" s="294"/>
      <c r="I3200" s="298"/>
      <c r="J3200" s="322"/>
    </row>
    <row r="3201" spans="1:14" s="95" customFormat="1" ht="21" customHeight="1">
      <c r="A3201" s="289"/>
      <c r="B3201" s="319" t="s">
        <v>353</v>
      </c>
      <c r="C3201" s="289"/>
      <c r="D3201" s="289"/>
      <c r="E3201" s="289"/>
      <c r="F3201" s="513"/>
      <c r="G3201" s="513"/>
      <c r="H3201" s="513"/>
      <c r="I3201" s="298"/>
      <c r="J3201" s="289"/>
      <c r="K3201" s="96"/>
      <c r="L3201" s="96"/>
      <c r="M3201" s="96"/>
    </row>
    <row r="3202" spans="1:14" s="94" customFormat="1" ht="44.25" customHeight="1">
      <c r="A3202" s="307"/>
      <c r="B3202" s="293" t="s">
        <v>352</v>
      </c>
      <c r="C3202" s="307">
        <v>3</v>
      </c>
      <c r="D3202" s="307">
        <v>1</v>
      </c>
      <c r="E3202" s="307">
        <v>1</v>
      </c>
      <c r="F3202" s="308">
        <v>11.43</v>
      </c>
      <c r="G3202" s="308"/>
      <c r="H3202" s="294">
        <v>2.9249999999999998</v>
      </c>
      <c r="I3202" s="323">
        <f t="shared" ref="I3202:I3239" si="147">PRODUCT(C3202:H3202)</f>
        <v>100.3</v>
      </c>
      <c r="J3202" s="307"/>
      <c r="N3202" s="94">
        <f>4.288+2.85+4.288</f>
        <v>11.426</v>
      </c>
    </row>
    <row r="3203" spans="1:14" s="65" customFormat="1" ht="21" customHeight="1">
      <c r="A3203" s="294"/>
      <c r="B3203" s="293" t="s">
        <v>351</v>
      </c>
      <c r="C3203" s="307">
        <v>-3</v>
      </c>
      <c r="D3203" s="307">
        <v>1</v>
      </c>
      <c r="E3203" s="307">
        <v>1</v>
      </c>
      <c r="F3203" s="308">
        <v>1.8</v>
      </c>
      <c r="G3203" s="317"/>
      <c r="H3203" s="308">
        <v>1.35</v>
      </c>
      <c r="I3203" s="323">
        <f t="shared" si="147"/>
        <v>-7.29</v>
      </c>
      <c r="J3203" s="294"/>
      <c r="K3203" s="54"/>
      <c r="L3203" s="54"/>
      <c r="M3203" s="54"/>
    </row>
    <row r="3204" spans="1:14" s="65" customFormat="1" ht="30" customHeight="1">
      <c r="A3204" s="307"/>
      <c r="B3204" s="293" t="s">
        <v>349</v>
      </c>
      <c r="C3204" s="307">
        <v>3</v>
      </c>
      <c r="D3204" s="307">
        <v>1</v>
      </c>
      <c r="E3204" s="307">
        <v>1</v>
      </c>
      <c r="F3204" s="308">
        <v>6.3</v>
      </c>
      <c r="G3204" s="317"/>
      <c r="H3204" s="308">
        <v>0.23</v>
      </c>
      <c r="I3204" s="323">
        <f t="shared" si="147"/>
        <v>4.3499999999999996</v>
      </c>
      <c r="J3204" s="294"/>
      <c r="K3204" s="54"/>
      <c r="L3204" s="54"/>
      <c r="M3204" s="54"/>
      <c r="N3204" s="65">
        <f>1.8+1.35+1.8+1.35</f>
        <v>6.3</v>
      </c>
    </row>
    <row r="3205" spans="1:14" s="65" customFormat="1" ht="21" customHeight="1">
      <c r="A3205" s="294"/>
      <c r="B3205" s="293" t="s">
        <v>350</v>
      </c>
      <c r="C3205" s="307">
        <v>-3</v>
      </c>
      <c r="D3205" s="307">
        <v>1</v>
      </c>
      <c r="E3205" s="307">
        <v>1</v>
      </c>
      <c r="F3205" s="308">
        <v>1.2</v>
      </c>
      <c r="G3205" s="317"/>
      <c r="H3205" s="308">
        <v>1.35</v>
      </c>
      <c r="I3205" s="323">
        <f t="shared" si="147"/>
        <v>-4.8600000000000003</v>
      </c>
      <c r="J3205" s="294"/>
      <c r="K3205" s="54"/>
      <c r="L3205" s="54"/>
      <c r="M3205" s="54"/>
    </row>
    <row r="3206" spans="1:14" s="65" customFormat="1" ht="21" customHeight="1">
      <c r="A3206" s="307"/>
      <c r="B3206" s="297" t="s">
        <v>349</v>
      </c>
      <c r="C3206" s="307">
        <v>3</v>
      </c>
      <c r="D3206" s="307">
        <v>1</v>
      </c>
      <c r="E3206" s="307">
        <v>2</v>
      </c>
      <c r="F3206" s="308">
        <v>5.0999999999999996</v>
      </c>
      <c r="G3206" s="317"/>
      <c r="H3206" s="308">
        <v>0.23</v>
      </c>
      <c r="I3206" s="323">
        <f t="shared" si="147"/>
        <v>7.04</v>
      </c>
      <c r="J3206" s="294"/>
      <c r="K3206" s="54"/>
      <c r="L3206" s="54"/>
      <c r="M3206" s="54"/>
      <c r="N3206" s="80">
        <f>1.2+1.35+1.2+1.35</f>
        <v>5.0999999999999996</v>
      </c>
    </row>
    <row r="3207" spans="1:14" s="65" customFormat="1" ht="23.25" customHeight="1">
      <c r="A3207" s="307"/>
      <c r="B3207" s="293" t="s">
        <v>348</v>
      </c>
      <c r="C3207" s="307">
        <v>3</v>
      </c>
      <c r="D3207" s="307">
        <v>1</v>
      </c>
      <c r="E3207" s="307">
        <v>2</v>
      </c>
      <c r="F3207" s="317">
        <v>1.262</v>
      </c>
      <c r="G3207" s="317"/>
      <c r="H3207" s="294">
        <v>2.9249999999999998</v>
      </c>
      <c r="I3207" s="323">
        <f t="shared" si="147"/>
        <v>22.15</v>
      </c>
      <c r="J3207" s="294"/>
      <c r="K3207" s="54"/>
      <c r="L3207" s="54"/>
      <c r="M3207" s="54"/>
      <c r="N3207" s="80"/>
    </row>
    <row r="3208" spans="1:14" s="65" customFormat="1" ht="23.25" customHeight="1">
      <c r="A3208" s="307"/>
      <c r="B3208" s="293" t="s">
        <v>346</v>
      </c>
      <c r="C3208" s="307">
        <v>1</v>
      </c>
      <c r="D3208" s="307">
        <v>1</v>
      </c>
      <c r="E3208" s="307">
        <v>1</v>
      </c>
      <c r="F3208" s="317">
        <v>1.875</v>
      </c>
      <c r="G3208" s="317"/>
      <c r="H3208" s="294">
        <v>2.9249999999999998</v>
      </c>
      <c r="I3208" s="323">
        <f t="shared" si="147"/>
        <v>5.48</v>
      </c>
      <c r="J3208" s="294"/>
      <c r="K3208" s="54"/>
      <c r="L3208" s="54"/>
      <c r="M3208" s="54"/>
      <c r="N3208" s="80"/>
    </row>
    <row r="3209" spans="1:14" s="65" customFormat="1" ht="23.25" customHeight="1">
      <c r="A3209" s="307"/>
      <c r="B3209" s="293" t="s">
        <v>347</v>
      </c>
      <c r="C3209" s="307">
        <v>1</v>
      </c>
      <c r="D3209" s="307">
        <v>1</v>
      </c>
      <c r="E3209" s="307">
        <v>1</v>
      </c>
      <c r="F3209" s="308">
        <v>1.45</v>
      </c>
      <c r="G3209" s="317"/>
      <c r="H3209" s="294">
        <v>2.9249999999999998</v>
      </c>
      <c r="I3209" s="323">
        <f t="shared" si="147"/>
        <v>4.24</v>
      </c>
      <c r="J3209" s="294"/>
      <c r="K3209" s="54"/>
      <c r="L3209" s="54"/>
      <c r="M3209" s="54"/>
      <c r="N3209" s="80"/>
    </row>
    <row r="3210" spans="1:14" s="65" customFormat="1" ht="23.25" customHeight="1">
      <c r="A3210" s="307"/>
      <c r="B3210" s="293" t="s">
        <v>346</v>
      </c>
      <c r="C3210" s="307">
        <v>1</v>
      </c>
      <c r="D3210" s="307">
        <v>1</v>
      </c>
      <c r="E3210" s="307">
        <v>2</v>
      </c>
      <c r="F3210" s="308">
        <v>0.93</v>
      </c>
      <c r="G3210" s="317"/>
      <c r="H3210" s="294">
        <v>2.9249999999999998</v>
      </c>
      <c r="I3210" s="323">
        <f t="shared" si="147"/>
        <v>5.44</v>
      </c>
      <c r="J3210" s="294"/>
      <c r="K3210" s="54"/>
      <c r="L3210" s="54"/>
      <c r="M3210" s="54"/>
      <c r="N3210" s="80"/>
    </row>
    <row r="3211" spans="1:14" s="65" customFormat="1" ht="23.25" customHeight="1">
      <c r="A3211" s="307"/>
      <c r="B3211" s="293" t="s">
        <v>345</v>
      </c>
      <c r="C3211" s="307">
        <v>1</v>
      </c>
      <c r="D3211" s="307">
        <v>1</v>
      </c>
      <c r="E3211" s="307">
        <v>1</v>
      </c>
      <c r="F3211" s="317">
        <v>1.3640000000000001</v>
      </c>
      <c r="G3211" s="317"/>
      <c r="H3211" s="294">
        <v>2.9249999999999998</v>
      </c>
      <c r="I3211" s="323">
        <f t="shared" si="147"/>
        <v>3.99</v>
      </c>
      <c r="J3211" s="294"/>
      <c r="K3211" s="54"/>
      <c r="L3211" s="54"/>
      <c r="M3211" s="54"/>
      <c r="N3211" s="80"/>
    </row>
    <row r="3212" spans="1:14" s="65" customFormat="1" ht="23.25" customHeight="1">
      <c r="A3212" s="307"/>
      <c r="B3212" s="293" t="s">
        <v>344</v>
      </c>
      <c r="C3212" s="307">
        <v>1</v>
      </c>
      <c r="D3212" s="307">
        <v>1</v>
      </c>
      <c r="E3212" s="307">
        <v>2</v>
      </c>
      <c r="F3212" s="317">
        <v>1.917</v>
      </c>
      <c r="G3212" s="317"/>
      <c r="H3212" s="294">
        <v>2.9249999999999998</v>
      </c>
      <c r="I3212" s="323">
        <f t="shared" si="147"/>
        <v>11.21</v>
      </c>
      <c r="J3212" s="294"/>
      <c r="K3212" s="54"/>
      <c r="L3212" s="54"/>
      <c r="M3212" s="54"/>
      <c r="N3212" s="80"/>
    </row>
    <row r="3213" spans="1:14" s="65" customFormat="1" ht="23.25" customHeight="1">
      <c r="A3213" s="307"/>
      <c r="B3213" s="293" t="s">
        <v>344</v>
      </c>
      <c r="C3213" s="307">
        <v>1</v>
      </c>
      <c r="D3213" s="307">
        <v>1</v>
      </c>
      <c r="E3213" s="307">
        <v>2</v>
      </c>
      <c r="F3213" s="317">
        <v>0.77400000000000002</v>
      </c>
      <c r="G3213" s="317"/>
      <c r="H3213" s="294">
        <v>2.9249999999999998</v>
      </c>
      <c r="I3213" s="323">
        <f t="shared" si="147"/>
        <v>4.53</v>
      </c>
      <c r="J3213" s="294"/>
      <c r="K3213" s="54"/>
      <c r="L3213" s="54"/>
      <c r="M3213" s="54"/>
      <c r="N3213" s="80"/>
    </row>
    <row r="3214" spans="1:14" s="65" customFormat="1" ht="23.25" customHeight="1">
      <c r="A3214" s="307"/>
      <c r="B3214" s="293" t="s">
        <v>343</v>
      </c>
      <c r="C3214" s="307">
        <v>1</v>
      </c>
      <c r="D3214" s="307">
        <v>1</v>
      </c>
      <c r="E3214" s="307">
        <v>1</v>
      </c>
      <c r="F3214" s="317">
        <v>1.589</v>
      </c>
      <c r="G3214" s="317"/>
      <c r="H3214" s="294">
        <v>2.9249999999999998</v>
      </c>
      <c r="I3214" s="323">
        <f t="shared" si="147"/>
        <v>4.6500000000000004</v>
      </c>
      <c r="J3214" s="294"/>
      <c r="K3214" s="54"/>
      <c r="L3214" s="54"/>
      <c r="M3214" s="54"/>
      <c r="N3214" s="80"/>
    </row>
    <row r="3215" spans="1:14" s="65" customFormat="1" ht="23.25" customHeight="1">
      <c r="A3215" s="307"/>
      <c r="B3215" s="293" t="s">
        <v>343</v>
      </c>
      <c r="C3215" s="307">
        <v>1</v>
      </c>
      <c r="D3215" s="307">
        <v>1</v>
      </c>
      <c r="E3215" s="307">
        <v>1</v>
      </c>
      <c r="F3215" s="317">
        <v>0.995</v>
      </c>
      <c r="G3215" s="317"/>
      <c r="H3215" s="294">
        <v>2.9249999999999998</v>
      </c>
      <c r="I3215" s="323">
        <f t="shared" si="147"/>
        <v>2.91</v>
      </c>
      <c r="J3215" s="294"/>
      <c r="K3215" s="54"/>
      <c r="L3215" s="54"/>
      <c r="M3215" s="54"/>
      <c r="N3215" s="80">
        <f>0.995+0.935</f>
        <v>1.93</v>
      </c>
    </row>
    <row r="3216" spans="1:14" s="65" customFormat="1" ht="23.25" customHeight="1">
      <c r="A3216" s="307"/>
      <c r="B3216" s="293" t="s">
        <v>343</v>
      </c>
      <c r="C3216" s="307">
        <v>1</v>
      </c>
      <c r="D3216" s="307">
        <v>1</v>
      </c>
      <c r="E3216" s="307">
        <v>1</v>
      </c>
      <c r="F3216" s="317">
        <v>0.93500000000000005</v>
      </c>
      <c r="G3216" s="317"/>
      <c r="H3216" s="294">
        <v>2.9249999999999998</v>
      </c>
      <c r="I3216" s="323">
        <f t="shared" si="147"/>
        <v>2.73</v>
      </c>
      <c r="J3216" s="294"/>
      <c r="K3216" s="54"/>
      <c r="L3216" s="54"/>
      <c r="M3216" s="54"/>
      <c r="N3216" s="80"/>
    </row>
    <row r="3217" spans="1:14" s="65" customFormat="1" ht="23.25" customHeight="1">
      <c r="A3217" s="307"/>
      <c r="B3217" s="293" t="s">
        <v>342</v>
      </c>
      <c r="C3217" s="307">
        <v>1</v>
      </c>
      <c r="D3217" s="307">
        <v>1</v>
      </c>
      <c r="E3217" s="307">
        <v>1</v>
      </c>
      <c r="F3217" s="317">
        <v>2.3199999999999998</v>
      </c>
      <c r="G3217" s="317"/>
      <c r="H3217" s="294">
        <v>2.9249999999999998</v>
      </c>
      <c r="I3217" s="323">
        <f t="shared" si="147"/>
        <v>6.79</v>
      </c>
      <c r="J3217" s="294"/>
      <c r="K3217" s="54"/>
      <c r="L3217" s="54"/>
      <c r="M3217" s="54"/>
      <c r="N3217" s="80"/>
    </row>
    <row r="3218" spans="1:14" s="65" customFormat="1" ht="23.25" customHeight="1">
      <c r="A3218" s="307"/>
      <c r="B3218" s="293" t="s">
        <v>342</v>
      </c>
      <c r="C3218" s="307">
        <v>1</v>
      </c>
      <c r="D3218" s="307">
        <v>1</v>
      </c>
      <c r="E3218" s="307">
        <v>1</v>
      </c>
      <c r="F3218" s="317">
        <v>2.97</v>
      </c>
      <c r="G3218" s="317"/>
      <c r="H3218" s="294">
        <v>2.9249999999999998</v>
      </c>
      <c r="I3218" s="323">
        <f t="shared" si="147"/>
        <v>8.69</v>
      </c>
      <c r="J3218" s="294"/>
      <c r="K3218" s="54"/>
      <c r="L3218" s="54"/>
      <c r="M3218" s="54"/>
      <c r="N3218" s="80"/>
    </row>
    <row r="3219" spans="1:14" s="65" customFormat="1" ht="23.25" customHeight="1">
      <c r="A3219" s="307"/>
      <c r="B3219" s="293" t="s">
        <v>342</v>
      </c>
      <c r="C3219" s="307">
        <v>1</v>
      </c>
      <c r="D3219" s="307">
        <v>1</v>
      </c>
      <c r="E3219" s="307">
        <v>1</v>
      </c>
      <c r="F3219" s="317">
        <v>2.97</v>
      </c>
      <c r="G3219" s="317"/>
      <c r="H3219" s="294">
        <v>2.9249999999999998</v>
      </c>
      <c r="I3219" s="323">
        <f t="shared" si="147"/>
        <v>8.69</v>
      </c>
      <c r="J3219" s="294"/>
      <c r="K3219" s="54"/>
      <c r="L3219" s="54"/>
      <c r="M3219" s="54"/>
      <c r="N3219" s="80"/>
    </row>
    <row r="3220" spans="1:14" s="65" customFormat="1" ht="23.25" customHeight="1">
      <c r="A3220" s="307"/>
      <c r="B3220" s="293" t="s">
        <v>342</v>
      </c>
      <c r="C3220" s="307">
        <v>1</v>
      </c>
      <c r="D3220" s="307">
        <v>1</v>
      </c>
      <c r="E3220" s="307">
        <v>1</v>
      </c>
      <c r="F3220" s="317">
        <v>2.2999999999999998</v>
      </c>
      <c r="G3220" s="317"/>
      <c r="H3220" s="294">
        <v>2.9249999999999998</v>
      </c>
      <c r="I3220" s="323">
        <f t="shared" si="147"/>
        <v>6.73</v>
      </c>
      <c r="J3220" s="294"/>
      <c r="K3220" s="54"/>
      <c r="L3220" s="54"/>
      <c r="M3220" s="54"/>
      <c r="N3220" s="80"/>
    </row>
    <row r="3221" spans="1:14" s="65" customFormat="1" ht="23.25" customHeight="1">
      <c r="A3221" s="307"/>
      <c r="B3221" s="293" t="s">
        <v>341</v>
      </c>
      <c r="C3221" s="307">
        <v>1</v>
      </c>
      <c r="D3221" s="307">
        <v>1</v>
      </c>
      <c r="E3221" s="307">
        <v>2</v>
      </c>
      <c r="F3221" s="317">
        <v>0.98099999999999998</v>
      </c>
      <c r="G3221" s="317"/>
      <c r="H3221" s="294">
        <v>2.9249999999999998</v>
      </c>
      <c r="I3221" s="323">
        <f t="shared" si="147"/>
        <v>5.74</v>
      </c>
      <c r="J3221" s="294"/>
      <c r="K3221" s="54"/>
      <c r="L3221" s="54"/>
      <c r="M3221" s="54"/>
      <c r="N3221" s="80"/>
    </row>
    <row r="3222" spans="1:14" s="65" customFormat="1" ht="23.25" customHeight="1">
      <c r="A3222" s="307"/>
      <c r="B3222" s="293" t="s">
        <v>341</v>
      </c>
      <c r="C3222" s="307">
        <v>1</v>
      </c>
      <c r="D3222" s="307">
        <v>1</v>
      </c>
      <c r="E3222" s="307">
        <v>2</v>
      </c>
      <c r="F3222" s="317">
        <v>0.69499999999999995</v>
      </c>
      <c r="G3222" s="317"/>
      <c r="H3222" s="294">
        <v>2.9249999999999998</v>
      </c>
      <c r="I3222" s="323">
        <f t="shared" si="147"/>
        <v>4.07</v>
      </c>
      <c r="J3222" s="294"/>
      <c r="K3222" s="54"/>
      <c r="L3222" s="54"/>
      <c r="M3222" s="54"/>
      <c r="N3222" s="80"/>
    </row>
    <row r="3223" spans="1:14" s="65" customFormat="1" ht="23.25" customHeight="1">
      <c r="A3223" s="307"/>
      <c r="B3223" s="293" t="s">
        <v>341</v>
      </c>
      <c r="C3223" s="307">
        <v>1</v>
      </c>
      <c r="D3223" s="307">
        <v>1</v>
      </c>
      <c r="E3223" s="307">
        <v>2</v>
      </c>
      <c r="F3223" s="317">
        <v>0.93500000000000005</v>
      </c>
      <c r="G3223" s="317"/>
      <c r="H3223" s="294">
        <v>2.9249999999999998</v>
      </c>
      <c r="I3223" s="323">
        <f t="shared" si="147"/>
        <v>5.47</v>
      </c>
      <c r="J3223" s="294"/>
      <c r="K3223" s="54"/>
      <c r="L3223" s="54"/>
      <c r="M3223" s="54"/>
      <c r="N3223" s="80"/>
    </row>
    <row r="3224" spans="1:14" s="65" customFormat="1" ht="24.75" customHeight="1">
      <c r="A3224" s="307"/>
      <c r="B3224" s="293" t="s">
        <v>340</v>
      </c>
      <c r="C3224" s="307">
        <v>2</v>
      </c>
      <c r="D3224" s="307">
        <v>1</v>
      </c>
      <c r="E3224" s="307">
        <v>1</v>
      </c>
      <c r="F3224" s="317">
        <v>4.9850000000000003</v>
      </c>
      <c r="G3224" s="317"/>
      <c r="H3224" s="294">
        <v>2.9249999999999998</v>
      </c>
      <c r="I3224" s="323">
        <f t="shared" si="147"/>
        <v>29.16</v>
      </c>
      <c r="J3224" s="294"/>
      <c r="K3224" s="54"/>
      <c r="L3224" s="54"/>
      <c r="M3224" s="54"/>
      <c r="N3224" s="80"/>
    </row>
    <row r="3225" spans="1:14" s="65" customFormat="1" ht="24.75" customHeight="1">
      <c r="A3225" s="307"/>
      <c r="B3225" s="293" t="s">
        <v>946</v>
      </c>
      <c r="C3225" s="307">
        <v>2</v>
      </c>
      <c r="D3225" s="307">
        <v>1</v>
      </c>
      <c r="E3225" s="307">
        <v>1</v>
      </c>
      <c r="F3225" s="317">
        <v>27.164999999999999</v>
      </c>
      <c r="G3225" s="317"/>
      <c r="H3225" s="294">
        <v>2.9249999999999998</v>
      </c>
      <c r="I3225" s="323">
        <f t="shared" si="147"/>
        <v>158.91999999999999</v>
      </c>
      <c r="J3225" s="294"/>
      <c r="K3225" s="54"/>
      <c r="L3225" s="54"/>
      <c r="M3225" s="54"/>
      <c r="N3225" s="80"/>
    </row>
    <row r="3226" spans="1:14" s="65" customFormat="1" ht="22.5" customHeight="1">
      <c r="A3226" s="307"/>
      <c r="B3226" s="293" t="s">
        <v>339</v>
      </c>
      <c r="C3226" s="307">
        <v>-1</v>
      </c>
      <c r="D3226" s="307">
        <v>1</v>
      </c>
      <c r="E3226" s="307">
        <v>2</v>
      </c>
      <c r="F3226" s="308">
        <v>1.8</v>
      </c>
      <c r="G3226" s="317"/>
      <c r="H3226" s="294">
        <v>2.9249999999999998</v>
      </c>
      <c r="I3226" s="323">
        <f t="shared" si="147"/>
        <v>-10.53</v>
      </c>
      <c r="J3226" s="294"/>
      <c r="K3226" s="54"/>
      <c r="L3226" s="54"/>
      <c r="M3226" s="54"/>
      <c r="N3226" s="80"/>
    </row>
    <row r="3227" spans="1:14" s="65" customFormat="1" ht="22.5" customHeight="1">
      <c r="A3227" s="307"/>
      <c r="B3227" s="293" t="s">
        <v>337</v>
      </c>
      <c r="C3227" s="307">
        <v>-2</v>
      </c>
      <c r="D3227" s="307">
        <v>1</v>
      </c>
      <c r="E3227" s="307">
        <v>2</v>
      </c>
      <c r="F3227" s="308">
        <v>1</v>
      </c>
      <c r="G3227" s="317"/>
      <c r="H3227" s="308">
        <v>2.1</v>
      </c>
      <c r="I3227" s="323">
        <f t="shared" si="147"/>
        <v>-8.4</v>
      </c>
      <c r="J3227" s="294"/>
      <c r="K3227" s="54"/>
      <c r="L3227" s="54"/>
      <c r="M3227" s="54"/>
      <c r="N3227" s="80"/>
    </row>
    <row r="3228" spans="1:14" s="65" customFormat="1" ht="21" customHeight="1">
      <c r="A3228" s="307"/>
      <c r="B3228" s="293" t="s">
        <v>338</v>
      </c>
      <c r="C3228" s="307">
        <v>1</v>
      </c>
      <c r="D3228" s="307">
        <v>1</v>
      </c>
      <c r="E3228" s="307">
        <v>2</v>
      </c>
      <c r="F3228" s="308">
        <v>16.059999999999999</v>
      </c>
      <c r="G3228" s="317"/>
      <c r="H3228" s="317">
        <v>2.7250000000000001</v>
      </c>
      <c r="I3228" s="323">
        <f t="shared" si="147"/>
        <v>87.53</v>
      </c>
      <c r="J3228" s="294"/>
      <c r="K3228" s="54"/>
      <c r="L3228" s="54"/>
      <c r="M3228" s="54"/>
      <c r="N3228" s="80"/>
    </row>
    <row r="3229" spans="1:14" s="65" customFormat="1" ht="21" customHeight="1">
      <c r="A3229" s="307"/>
      <c r="B3229" s="293" t="s">
        <v>337</v>
      </c>
      <c r="C3229" s="307">
        <v>-2</v>
      </c>
      <c r="D3229" s="307">
        <v>1</v>
      </c>
      <c r="E3229" s="307">
        <v>2</v>
      </c>
      <c r="F3229" s="308">
        <v>1</v>
      </c>
      <c r="G3229" s="317"/>
      <c r="H3229" s="308">
        <v>2.1</v>
      </c>
      <c r="I3229" s="323">
        <f t="shared" si="147"/>
        <v>-8.4</v>
      </c>
      <c r="J3229" s="294"/>
      <c r="K3229" s="54"/>
      <c r="L3229" s="54"/>
      <c r="M3229" s="54"/>
      <c r="N3229" s="80"/>
    </row>
    <row r="3230" spans="1:14" s="65" customFormat="1" ht="21" customHeight="1">
      <c r="A3230" s="307"/>
      <c r="B3230" s="293" t="s">
        <v>336</v>
      </c>
      <c r="C3230" s="307">
        <v>-2</v>
      </c>
      <c r="D3230" s="307">
        <v>1</v>
      </c>
      <c r="E3230" s="307">
        <v>1</v>
      </c>
      <c r="F3230" s="308">
        <v>0.9</v>
      </c>
      <c r="G3230" s="317"/>
      <c r="H3230" s="308">
        <v>2.1</v>
      </c>
      <c r="I3230" s="323">
        <f t="shared" si="147"/>
        <v>-3.78</v>
      </c>
      <c r="J3230" s="294"/>
      <c r="K3230" s="54"/>
      <c r="L3230" s="54"/>
      <c r="M3230" s="54"/>
      <c r="N3230" s="80"/>
    </row>
    <row r="3231" spans="1:14" s="65" customFormat="1" ht="21" customHeight="1">
      <c r="A3231" s="307"/>
      <c r="B3231" s="293" t="s">
        <v>335</v>
      </c>
      <c r="C3231" s="307">
        <v>-2</v>
      </c>
      <c r="D3231" s="307">
        <v>1</v>
      </c>
      <c r="E3231" s="307">
        <v>1</v>
      </c>
      <c r="F3231" s="308">
        <v>1</v>
      </c>
      <c r="G3231" s="317"/>
      <c r="H3231" s="317">
        <v>2.1</v>
      </c>
      <c r="I3231" s="323">
        <f t="shared" si="147"/>
        <v>-4.2</v>
      </c>
      <c r="J3231" s="294"/>
      <c r="K3231" s="54"/>
      <c r="L3231" s="54"/>
      <c r="M3231" s="54"/>
      <c r="N3231" s="80"/>
    </row>
    <row r="3232" spans="1:14" s="65" customFormat="1" ht="21" customHeight="1">
      <c r="A3232" s="307"/>
      <c r="B3232" s="293" t="s">
        <v>334</v>
      </c>
      <c r="C3232" s="307">
        <v>-2</v>
      </c>
      <c r="D3232" s="307">
        <v>1</v>
      </c>
      <c r="E3232" s="307">
        <v>2</v>
      </c>
      <c r="F3232" s="308">
        <v>2.88</v>
      </c>
      <c r="G3232" s="317"/>
      <c r="H3232" s="317">
        <v>1.23</v>
      </c>
      <c r="I3232" s="323">
        <f t="shared" si="147"/>
        <v>-14.17</v>
      </c>
      <c r="J3232" s="294"/>
      <c r="K3232" s="54"/>
      <c r="L3232" s="54"/>
      <c r="M3232" s="54"/>
      <c r="N3232" s="80">
        <f>2.725-1.5</f>
        <v>1.23</v>
      </c>
    </row>
    <row r="3233" spans="1:30" s="65" customFormat="1" ht="21" customHeight="1">
      <c r="A3233" s="307"/>
      <c r="B3233" s="293" t="s">
        <v>333</v>
      </c>
      <c r="C3233" s="307">
        <v>-4</v>
      </c>
      <c r="D3233" s="307">
        <v>1</v>
      </c>
      <c r="E3233" s="307">
        <v>1</v>
      </c>
      <c r="F3233" s="308">
        <v>0.75</v>
      </c>
      <c r="G3233" s="317"/>
      <c r="H3233" s="317">
        <v>0.45</v>
      </c>
      <c r="I3233" s="323">
        <f t="shared" si="147"/>
        <v>-1.35</v>
      </c>
      <c r="J3233" s="294"/>
      <c r="K3233" s="54"/>
      <c r="L3233" s="54"/>
      <c r="M3233" s="54"/>
      <c r="N3233" s="80"/>
    </row>
    <row r="3234" spans="1:30" s="65" customFormat="1" ht="21" customHeight="1">
      <c r="A3234" s="307"/>
      <c r="B3234" s="293" t="s">
        <v>332</v>
      </c>
      <c r="C3234" s="307">
        <v>5</v>
      </c>
      <c r="D3234" s="307">
        <v>1</v>
      </c>
      <c r="E3234" s="307">
        <v>1</v>
      </c>
      <c r="F3234" s="308">
        <v>2.4</v>
      </c>
      <c r="G3234" s="317">
        <v>0.23</v>
      </c>
      <c r="H3234" s="317"/>
      <c r="I3234" s="323">
        <f t="shared" si="147"/>
        <v>2.76</v>
      </c>
      <c r="J3234" s="294"/>
      <c r="K3234" s="54"/>
      <c r="L3234" s="54"/>
      <c r="M3234" s="54"/>
      <c r="N3234" s="80">
        <f>0.75+0.45+0.75+0.45</f>
        <v>2.4</v>
      </c>
    </row>
    <row r="3235" spans="1:30" s="65" customFormat="1" ht="21" customHeight="1">
      <c r="A3235" s="307"/>
      <c r="B3235" s="293" t="s">
        <v>331</v>
      </c>
      <c r="C3235" s="307">
        <v>-2</v>
      </c>
      <c r="D3235" s="307">
        <v>1</v>
      </c>
      <c r="E3235" s="307">
        <v>2</v>
      </c>
      <c r="F3235" s="308">
        <v>0.75</v>
      </c>
      <c r="G3235" s="317"/>
      <c r="H3235" s="317">
        <v>0.9</v>
      </c>
      <c r="I3235" s="323">
        <f t="shared" si="147"/>
        <v>-2.7</v>
      </c>
      <c r="J3235" s="294"/>
      <c r="K3235" s="54"/>
      <c r="L3235" s="54"/>
      <c r="M3235" s="54"/>
      <c r="N3235" s="80"/>
    </row>
    <row r="3236" spans="1:30" s="65" customFormat="1" ht="31.5" customHeight="1">
      <c r="A3236" s="294"/>
      <c r="B3236" s="322" t="s">
        <v>620</v>
      </c>
      <c r="C3236" s="307">
        <v>10</v>
      </c>
      <c r="D3236" s="307">
        <v>2</v>
      </c>
      <c r="E3236" s="307">
        <v>1</v>
      </c>
      <c r="F3236" s="308">
        <v>0.4</v>
      </c>
      <c r="G3236" s="317"/>
      <c r="H3236" s="308">
        <v>0.7</v>
      </c>
      <c r="I3236" s="323">
        <f t="shared" si="147"/>
        <v>5.6</v>
      </c>
      <c r="J3236" s="294"/>
      <c r="K3236" s="54"/>
      <c r="L3236" s="54"/>
      <c r="M3236" s="54"/>
    </row>
    <row r="3237" spans="1:30" s="65" customFormat="1" ht="27" customHeight="1">
      <c r="A3237" s="307"/>
      <c r="B3237" s="322" t="s">
        <v>330</v>
      </c>
      <c r="C3237" s="307">
        <v>10</v>
      </c>
      <c r="D3237" s="307">
        <v>2</v>
      </c>
      <c r="E3237" s="307">
        <v>1</v>
      </c>
      <c r="F3237" s="308">
        <v>0.4</v>
      </c>
      <c r="G3237" s="317"/>
      <c r="H3237" s="308">
        <v>0.7</v>
      </c>
      <c r="I3237" s="323">
        <f t="shared" si="147"/>
        <v>5.6</v>
      </c>
      <c r="J3237" s="294"/>
      <c r="K3237" s="54"/>
      <c r="L3237" s="54"/>
      <c r="M3237" s="54"/>
    </row>
    <row r="3238" spans="1:30" s="65" customFormat="1" ht="21" customHeight="1">
      <c r="A3238" s="294"/>
      <c r="B3238" s="322" t="s">
        <v>619</v>
      </c>
      <c r="C3238" s="307">
        <v>10</v>
      </c>
      <c r="D3238" s="307">
        <v>2</v>
      </c>
      <c r="E3238" s="307">
        <v>1</v>
      </c>
      <c r="F3238" s="308">
        <v>0.4</v>
      </c>
      <c r="G3238" s="317"/>
      <c r="H3238" s="308">
        <v>7.0000000000000007E-2</v>
      </c>
      <c r="I3238" s="323">
        <f t="shared" si="147"/>
        <v>0.56000000000000005</v>
      </c>
      <c r="J3238" s="294"/>
      <c r="K3238" s="54"/>
      <c r="L3238" s="54"/>
      <c r="M3238" s="54"/>
    </row>
    <row r="3239" spans="1:30" s="65" customFormat="1" ht="30.75" customHeight="1">
      <c r="A3239" s="307"/>
      <c r="B3239" s="293" t="s">
        <v>619</v>
      </c>
      <c r="C3239" s="307">
        <v>10</v>
      </c>
      <c r="D3239" s="307">
        <v>2</v>
      </c>
      <c r="E3239" s="307">
        <v>1</v>
      </c>
      <c r="F3239" s="308">
        <v>0.4</v>
      </c>
      <c r="G3239" s="317"/>
      <c r="H3239" s="308">
        <v>7.0000000000000007E-2</v>
      </c>
      <c r="I3239" s="323">
        <f t="shared" si="147"/>
        <v>0.56000000000000005</v>
      </c>
      <c r="J3239" s="294"/>
      <c r="K3239" s="54"/>
      <c r="L3239" s="54"/>
      <c r="M3239" s="54"/>
    </row>
    <row r="3240" spans="1:30" s="92" customFormat="1" ht="21" customHeight="1">
      <c r="A3240" s="307"/>
      <c r="B3240" s="320" t="s">
        <v>329</v>
      </c>
      <c r="C3240" s="307"/>
      <c r="D3240" s="307"/>
      <c r="E3240" s="307"/>
      <c r="F3240" s="308"/>
      <c r="G3240" s="308"/>
      <c r="H3240" s="317"/>
      <c r="I3240" s="418"/>
      <c r="J3240" s="302"/>
      <c r="K3240" s="76"/>
      <c r="L3240" s="76"/>
      <c r="M3240" s="76"/>
      <c r="N3240" s="76"/>
      <c r="O3240" s="76"/>
      <c r="P3240" s="76"/>
      <c r="Q3240" s="76"/>
      <c r="R3240" s="76"/>
      <c r="S3240" s="76"/>
      <c r="T3240" s="76"/>
      <c r="U3240" s="76"/>
      <c r="V3240" s="76"/>
      <c r="W3240" s="76"/>
      <c r="X3240" s="76"/>
      <c r="Y3240" s="76"/>
      <c r="Z3240" s="76"/>
      <c r="AA3240" s="76"/>
      <c r="AB3240" s="76"/>
      <c r="AC3240" s="76"/>
      <c r="AD3240" s="76"/>
    </row>
    <row r="3241" spans="1:30" s="92" customFormat="1" ht="21" customHeight="1">
      <c r="A3241" s="307"/>
      <c r="B3241" s="471" t="s">
        <v>618</v>
      </c>
      <c r="C3241" s="307">
        <v>1</v>
      </c>
      <c r="D3241" s="307">
        <v>1</v>
      </c>
      <c r="E3241" s="307">
        <v>2</v>
      </c>
      <c r="F3241" s="308">
        <v>3.9</v>
      </c>
      <c r="G3241" s="308"/>
      <c r="H3241" s="308">
        <v>3.05</v>
      </c>
      <c r="I3241" s="323">
        <f t="shared" ref="I3241:I3246" si="148">PRODUCT(C3241:H3241)</f>
        <v>23.79</v>
      </c>
      <c r="J3241" s="302"/>
      <c r="K3241" s="76"/>
      <c r="L3241" s="76"/>
      <c r="M3241" s="76"/>
      <c r="N3241" s="93">
        <f>0.8+1.15+0.8+1.15</f>
        <v>3.9</v>
      </c>
      <c r="O3241" s="76"/>
      <c r="P3241" s="76"/>
      <c r="Q3241" s="76"/>
      <c r="R3241" s="76"/>
      <c r="S3241" s="76"/>
      <c r="T3241" s="76"/>
      <c r="U3241" s="76"/>
      <c r="V3241" s="76"/>
      <c r="W3241" s="76"/>
      <c r="X3241" s="76"/>
      <c r="Y3241" s="76"/>
      <c r="Z3241" s="76"/>
      <c r="AA3241" s="76"/>
      <c r="AB3241" s="76"/>
      <c r="AC3241" s="76"/>
      <c r="AD3241" s="76"/>
    </row>
    <row r="3242" spans="1:30" s="92" customFormat="1" ht="21" customHeight="1">
      <c r="A3242" s="307"/>
      <c r="B3242" s="516" t="s">
        <v>327</v>
      </c>
      <c r="C3242" s="307">
        <v>-1</v>
      </c>
      <c r="D3242" s="307">
        <v>1</v>
      </c>
      <c r="E3242" s="307">
        <v>2</v>
      </c>
      <c r="F3242" s="308">
        <v>0.75</v>
      </c>
      <c r="G3242" s="308"/>
      <c r="H3242" s="317">
        <v>0.9</v>
      </c>
      <c r="I3242" s="323">
        <f t="shared" si="148"/>
        <v>-1.35</v>
      </c>
      <c r="J3242" s="302"/>
      <c r="K3242" s="76"/>
      <c r="L3242" s="76"/>
      <c r="M3242" s="76"/>
      <c r="N3242" s="76"/>
      <c r="O3242" s="76"/>
      <c r="P3242" s="76"/>
      <c r="Q3242" s="76"/>
      <c r="R3242" s="76"/>
      <c r="S3242" s="76"/>
      <c r="T3242" s="76"/>
      <c r="U3242" s="76"/>
      <c r="V3242" s="76"/>
      <c r="W3242" s="76"/>
      <c r="X3242" s="76"/>
      <c r="Y3242" s="76"/>
      <c r="Z3242" s="76"/>
      <c r="AA3242" s="76"/>
      <c r="AB3242" s="76"/>
      <c r="AC3242" s="76"/>
      <c r="AD3242" s="76"/>
    </row>
    <row r="3243" spans="1:30" s="92" customFormat="1" ht="21" customHeight="1">
      <c r="A3243" s="307"/>
      <c r="B3243" s="302" t="s">
        <v>326</v>
      </c>
      <c r="C3243" s="307">
        <v>1</v>
      </c>
      <c r="D3243" s="307">
        <v>1</v>
      </c>
      <c r="E3243" s="307">
        <v>2</v>
      </c>
      <c r="F3243" s="308">
        <v>3.3</v>
      </c>
      <c r="G3243" s="308">
        <v>0.23</v>
      </c>
      <c r="H3243" s="317"/>
      <c r="I3243" s="323">
        <f t="shared" si="148"/>
        <v>1.52</v>
      </c>
      <c r="J3243" s="302"/>
      <c r="K3243" s="76"/>
      <c r="L3243" s="76"/>
      <c r="M3243" s="76"/>
      <c r="N3243" s="76">
        <f>0.75+0.9+0.75+0.9</f>
        <v>3.3</v>
      </c>
      <c r="O3243" s="76"/>
      <c r="P3243" s="76"/>
      <c r="Q3243" s="76"/>
      <c r="R3243" s="76"/>
      <c r="S3243" s="76"/>
      <c r="T3243" s="76"/>
      <c r="U3243" s="76"/>
      <c r="V3243" s="76"/>
      <c r="W3243" s="76"/>
      <c r="X3243" s="76"/>
      <c r="Y3243" s="76"/>
      <c r="Z3243" s="76"/>
      <c r="AA3243" s="76"/>
      <c r="AB3243" s="76"/>
      <c r="AC3243" s="76"/>
      <c r="AD3243" s="76"/>
    </row>
    <row r="3244" spans="1:30" s="92" customFormat="1" ht="21" customHeight="1">
      <c r="A3244" s="307"/>
      <c r="B3244" s="516" t="s">
        <v>328</v>
      </c>
      <c r="C3244" s="307">
        <v>1</v>
      </c>
      <c r="D3244" s="307">
        <v>1</v>
      </c>
      <c r="E3244" s="307">
        <v>2</v>
      </c>
      <c r="F3244" s="308">
        <v>5.67</v>
      </c>
      <c r="G3244" s="308"/>
      <c r="H3244" s="317">
        <v>3.05</v>
      </c>
      <c r="I3244" s="323">
        <f t="shared" si="148"/>
        <v>34.590000000000003</v>
      </c>
      <c r="J3244" s="302"/>
      <c r="K3244" s="76"/>
      <c r="L3244" s="76"/>
      <c r="M3244" s="76"/>
      <c r="N3244" s="76">
        <f>1.685+1.15+1.685+1.15</f>
        <v>5.67</v>
      </c>
      <c r="O3244" s="76"/>
      <c r="P3244" s="76"/>
      <c r="Q3244" s="76"/>
      <c r="R3244" s="76"/>
      <c r="S3244" s="76"/>
      <c r="T3244" s="76"/>
      <c r="U3244" s="76"/>
      <c r="V3244" s="76"/>
      <c r="W3244" s="76"/>
      <c r="X3244" s="76"/>
      <c r="Y3244" s="76"/>
      <c r="Z3244" s="76"/>
      <c r="AA3244" s="76"/>
      <c r="AB3244" s="76"/>
      <c r="AC3244" s="76"/>
      <c r="AD3244" s="76"/>
    </row>
    <row r="3245" spans="1:30" s="92" customFormat="1" ht="21" customHeight="1">
      <c r="A3245" s="307"/>
      <c r="B3245" s="516" t="s">
        <v>327</v>
      </c>
      <c r="C3245" s="307">
        <v>-1</v>
      </c>
      <c r="D3245" s="307">
        <v>1</v>
      </c>
      <c r="E3245" s="307">
        <v>2</v>
      </c>
      <c r="F3245" s="308">
        <v>0.75</v>
      </c>
      <c r="G3245" s="308"/>
      <c r="H3245" s="317">
        <v>0.9</v>
      </c>
      <c r="I3245" s="323">
        <f t="shared" si="148"/>
        <v>-1.35</v>
      </c>
      <c r="J3245" s="302"/>
      <c r="K3245" s="76"/>
      <c r="L3245" s="76"/>
      <c r="M3245" s="76"/>
      <c r="N3245" s="76"/>
      <c r="O3245" s="76"/>
      <c r="P3245" s="76"/>
      <c r="Q3245" s="76"/>
      <c r="R3245" s="76"/>
      <c r="S3245" s="76"/>
      <c r="T3245" s="76"/>
      <c r="U3245" s="76"/>
      <c r="V3245" s="76"/>
      <c r="W3245" s="76"/>
      <c r="X3245" s="76"/>
      <c r="Y3245" s="76"/>
      <c r="Z3245" s="76"/>
      <c r="AA3245" s="76"/>
      <c r="AB3245" s="76"/>
      <c r="AC3245" s="76"/>
      <c r="AD3245" s="76"/>
    </row>
    <row r="3246" spans="1:30" s="92" customFormat="1" ht="21" customHeight="1">
      <c r="A3246" s="307"/>
      <c r="B3246" s="302" t="s">
        <v>326</v>
      </c>
      <c r="C3246" s="307">
        <v>1</v>
      </c>
      <c r="D3246" s="307">
        <v>1</v>
      </c>
      <c r="E3246" s="307">
        <v>2</v>
      </c>
      <c r="F3246" s="308">
        <v>3.3</v>
      </c>
      <c r="G3246" s="308">
        <v>0.23</v>
      </c>
      <c r="H3246" s="317"/>
      <c r="I3246" s="323">
        <f t="shared" si="148"/>
        <v>1.52</v>
      </c>
      <c r="J3246" s="302"/>
      <c r="K3246" s="76"/>
      <c r="L3246" s="76"/>
      <c r="M3246" s="76"/>
      <c r="N3246" s="76">
        <f>0.75+0.9+0.75+0.9</f>
        <v>3.3</v>
      </c>
      <c r="O3246" s="76"/>
      <c r="P3246" s="76"/>
      <c r="Q3246" s="76"/>
      <c r="R3246" s="76"/>
      <c r="S3246" s="76"/>
      <c r="T3246" s="76"/>
      <c r="U3246" s="76"/>
      <c r="V3246" s="76"/>
      <c r="W3246" s="76"/>
      <c r="X3246" s="76"/>
      <c r="Y3246" s="76"/>
      <c r="Z3246" s="76"/>
      <c r="AA3246" s="76"/>
      <c r="AB3246" s="76"/>
      <c r="AC3246" s="76"/>
      <c r="AD3246" s="76"/>
    </row>
    <row r="3247" spans="1:30" s="5" customFormat="1" ht="23.25" customHeight="1">
      <c r="A3247" s="289"/>
      <c r="B3247" s="342"/>
      <c r="C3247" s="346"/>
      <c r="D3247" s="280"/>
      <c r="E3247" s="346"/>
      <c r="F3247" s="337"/>
      <c r="G3247" s="595" t="s">
        <v>41</v>
      </c>
      <c r="H3247" s="596"/>
      <c r="I3247" s="416">
        <f>SUM(I3133:I3246)</f>
        <v>2961.42</v>
      </c>
      <c r="J3247" s="284" t="s">
        <v>42</v>
      </c>
      <c r="K3247" s="43"/>
      <c r="L3247" s="43"/>
      <c r="M3247" s="43"/>
      <c r="N3247" s="7"/>
      <c r="O3247" s="7"/>
      <c r="P3247" s="7"/>
      <c r="Q3247" s="7"/>
      <c r="R3247" s="7"/>
      <c r="S3247" s="7"/>
      <c r="T3247" s="7"/>
      <c r="U3247" s="7"/>
      <c r="V3247" s="7"/>
      <c r="W3247" s="7"/>
      <c r="X3247" s="7"/>
      <c r="Y3247" s="7"/>
      <c r="Z3247" s="7"/>
      <c r="AA3247" s="7"/>
      <c r="AB3247" s="7"/>
      <c r="AC3247" s="7"/>
      <c r="AD3247" s="7"/>
    </row>
    <row r="3248" spans="1:30" s="5" customFormat="1" ht="23.25" customHeight="1">
      <c r="A3248" s="289"/>
      <c r="B3248" s="456" t="s">
        <v>86</v>
      </c>
      <c r="C3248" s="346"/>
      <c r="D3248" s="280"/>
      <c r="E3248" s="346"/>
      <c r="F3248" s="337"/>
      <c r="G3248" s="337"/>
      <c r="H3248" s="412"/>
      <c r="I3248" s="339"/>
      <c r="J3248" s="284"/>
      <c r="K3248" s="43"/>
      <c r="L3248" s="43"/>
      <c r="M3248" s="43"/>
      <c r="N3248" s="7"/>
      <c r="O3248" s="7"/>
      <c r="P3248" s="7"/>
      <c r="Q3248" s="7"/>
      <c r="R3248" s="7"/>
      <c r="S3248" s="7"/>
      <c r="T3248" s="7"/>
      <c r="U3248" s="7"/>
      <c r="V3248" s="7"/>
      <c r="W3248" s="7"/>
      <c r="X3248" s="7"/>
      <c r="Y3248" s="7"/>
      <c r="Z3248" s="7"/>
      <c r="AA3248" s="7"/>
      <c r="AB3248" s="7"/>
      <c r="AC3248" s="7"/>
      <c r="AD3248" s="7"/>
    </row>
    <row r="3249" spans="1:30" s="5" customFormat="1" ht="23.25" customHeight="1">
      <c r="A3249" s="289"/>
      <c r="B3249" s="342" t="s">
        <v>317</v>
      </c>
      <c r="C3249" s="346"/>
      <c r="D3249" s="280"/>
      <c r="E3249" s="346"/>
      <c r="F3249" s="337"/>
      <c r="G3249" s="337"/>
      <c r="H3249" s="412"/>
      <c r="I3249" s="339">
        <f>I3247</f>
        <v>2961.42</v>
      </c>
      <c r="J3249" s="287" t="s">
        <v>4</v>
      </c>
      <c r="K3249" s="42"/>
      <c r="L3249" s="42"/>
      <c r="M3249" s="42"/>
      <c r="N3249" s="7"/>
      <c r="O3249" s="7"/>
      <c r="P3249" s="7"/>
      <c r="Q3249" s="7"/>
      <c r="R3249" s="7"/>
      <c r="S3249" s="7"/>
      <c r="T3249" s="7"/>
      <c r="U3249" s="7"/>
      <c r="V3249" s="7"/>
      <c r="W3249" s="7"/>
      <c r="X3249" s="7"/>
      <c r="Y3249" s="7"/>
      <c r="Z3249" s="7"/>
      <c r="AA3249" s="7"/>
      <c r="AB3249" s="7"/>
      <c r="AC3249" s="7"/>
      <c r="AD3249" s="7"/>
    </row>
    <row r="3250" spans="1:30" s="5" customFormat="1" ht="23.25" customHeight="1">
      <c r="A3250" s="289"/>
      <c r="B3250" s="456" t="s">
        <v>98</v>
      </c>
      <c r="C3250" s="346"/>
      <c r="D3250" s="280"/>
      <c r="E3250" s="346"/>
      <c r="F3250" s="337"/>
      <c r="G3250" s="337"/>
      <c r="H3250" s="412"/>
      <c r="I3250" s="339"/>
      <c r="J3250" s="284"/>
      <c r="K3250" s="43"/>
      <c r="L3250" s="43"/>
      <c r="M3250" s="43"/>
      <c r="N3250" s="7"/>
      <c r="O3250" s="7"/>
      <c r="P3250" s="7"/>
      <c r="Q3250" s="7"/>
      <c r="R3250" s="7"/>
      <c r="S3250" s="7"/>
      <c r="T3250" s="7"/>
      <c r="U3250" s="7"/>
      <c r="V3250" s="7"/>
      <c r="W3250" s="7"/>
      <c r="X3250" s="7"/>
      <c r="Y3250" s="7"/>
      <c r="Z3250" s="7"/>
      <c r="AA3250" s="7"/>
      <c r="AB3250" s="7"/>
      <c r="AC3250" s="7"/>
      <c r="AD3250" s="7"/>
    </row>
    <row r="3251" spans="1:30" s="5" customFormat="1" ht="23.25" customHeight="1">
      <c r="A3251" s="289"/>
      <c r="B3251" s="342" t="s">
        <v>317</v>
      </c>
      <c r="C3251" s="346"/>
      <c r="D3251" s="280"/>
      <c r="E3251" s="346"/>
      <c r="F3251" s="337"/>
      <c r="G3251" s="337"/>
      <c r="H3251" s="412"/>
      <c r="I3251" s="339">
        <f>I3249</f>
        <v>2961.42</v>
      </c>
      <c r="J3251" s="287" t="s">
        <v>4</v>
      </c>
      <c r="K3251" s="42"/>
      <c r="L3251" s="42"/>
      <c r="M3251" s="42"/>
      <c r="N3251" s="7"/>
      <c r="O3251" s="7"/>
      <c r="P3251" s="7"/>
      <c r="Q3251" s="7"/>
      <c r="R3251" s="7"/>
      <c r="S3251" s="7"/>
      <c r="T3251" s="7"/>
      <c r="U3251" s="7"/>
      <c r="V3251" s="7"/>
      <c r="W3251" s="7"/>
      <c r="X3251" s="7"/>
      <c r="Y3251" s="7"/>
      <c r="Z3251" s="7"/>
      <c r="AA3251" s="7"/>
      <c r="AB3251" s="7"/>
      <c r="AC3251" s="7"/>
      <c r="AD3251" s="7"/>
    </row>
    <row r="3252" spans="1:30" s="5" customFormat="1" ht="23.25" customHeight="1">
      <c r="A3252" s="289"/>
      <c r="B3252" s="456" t="s">
        <v>325</v>
      </c>
      <c r="C3252" s="346"/>
      <c r="D3252" s="280"/>
      <c r="E3252" s="346"/>
      <c r="F3252" s="337"/>
      <c r="G3252" s="337"/>
      <c r="H3252" s="412"/>
      <c r="I3252" s="339"/>
      <c r="J3252" s="284"/>
      <c r="K3252" s="43"/>
      <c r="L3252" s="43"/>
      <c r="M3252" s="43"/>
      <c r="N3252" s="7"/>
      <c r="O3252" s="7"/>
      <c r="P3252" s="7"/>
      <c r="Q3252" s="7"/>
      <c r="R3252" s="7"/>
      <c r="S3252" s="7"/>
      <c r="T3252" s="7"/>
      <c r="U3252" s="7"/>
      <c r="V3252" s="7"/>
      <c r="W3252" s="7"/>
      <c r="X3252" s="7"/>
      <c r="Y3252" s="7"/>
      <c r="Z3252" s="7"/>
      <c r="AA3252" s="7"/>
      <c r="AB3252" s="7"/>
      <c r="AC3252" s="7"/>
      <c r="AD3252" s="7"/>
    </row>
    <row r="3253" spans="1:30" s="5" customFormat="1" ht="23.25" customHeight="1">
      <c r="A3253" s="289"/>
      <c r="B3253" s="342" t="s">
        <v>317</v>
      </c>
      <c r="C3253" s="346"/>
      <c r="D3253" s="280"/>
      <c r="E3253" s="346"/>
      <c r="F3253" s="337"/>
      <c r="G3253" s="337"/>
      <c r="H3253" s="412"/>
      <c r="I3253" s="339">
        <f>I3251</f>
        <v>2961.42</v>
      </c>
      <c r="J3253" s="287" t="s">
        <v>4</v>
      </c>
      <c r="K3253" s="42"/>
      <c r="L3253" s="42"/>
      <c r="M3253" s="42"/>
      <c r="N3253" s="7"/>
      <c r="O3253" s="7"/>
      <c r="P3253" s="7"/>
      <c r="Q3253" s="7"/>
      <c r="R3253" s="7"/>
      <c r="S3253" s="7"/>
      <c r="T3253" s="7"/>
      <c r="U3253" s="7"/>
      <c r="V3253" s="7"/>
      <c r="W3253" s="7"/>
      <c r="X3253" s="7"/>
      <c r="Y3253" s="7"/>
      <c r="Z3253" s="7"/>
      <c r="AA3253" s="7"/>
      <c r="AB3253" s="7"/>
      <c r="AC3253" s="7"/>
      <c r="AD3253" s="7"/>
    </row>
    <row r="3254" spans="1:30" s="5" customFormat="1" ht="23.25" customHeight="1">
      <c r="A3254" s="289"/>
      <c r="B3254" s="456" t="s">
        <v>324</v>
      </c>
      <c r="C3254" s="346"/>
      <c r="D3254" s="280"/>
      <c r="E3254" s="346"/>
      <c r="F3254" s="337"/>
      <c r="G3254" s="337"/>
      <c r="H3254" s="412"/>
      <c r="I3254" s="339"/>
      <c r="J3254" s="284"/>
      <c r="K3254" s="43"/>
      <c r="L3254" s="43"/>
      <c r="M3254" s="43"/>
      <c r="N3254" s="7"/>
      <c r="O3254" s="7"/>
      <c r="P3254" s="7"/>
      <c r="Q3254" s="7"/>
      <c r="R3254" s="7"/>
      <c r="S3254" s="7"/>
      <c r="T3254" s="7"/>
      <c r="U3254" s="7"/>
      <c r="V3254" s="7"/>
      <c r="W3254" s="7"/>
      <c r="X3254" s="7"/>
      <c r="Y3254" s="7"/>
      <c r="Z3254" s="7"/>
      <c r="AA3254" s="7"/>
      <c r="AB3254" s="7"/>
      <c r="AC3254" s="7"/>
      <c r="AD3254" s="7"/>
    </row>
    <row r="3255" spans="1:30" s="5" customFormat="1" ht="23.25" customHeight="1">
      <c r="A3255" s="289"/>
      <c r="B3255" s="342" t="s">
        <v>317</v>
      </c>
      <c r="C3255" s="346"/>
      <c r="D3255" s="280"/>
      <c r="E3255" s="346"/>
      <c r="F3255" s="337"/>
      <c r="G3255" s="337"/>
      <c r="H3255" s="412"/>
      <c r="I3255" s="339">
        <f>I3253</f>
        <v>2961.42</v>
      </c>
      <c r="J3255" s="287" t="s">
        <v>4</v>
      </c>
      <c r="K3255" s="42"/>
      <c r="L3255" s="42"/>
      <c r="M3255" s="42"/>
      <c r="N3255" s="7"/>
      <c r="O3255" s="7"/>
      <c r="P3255" s="7"/>
      <c r="Q3255" s="7"/>
      <c r="R3255" s="7"/>
      <c r="S3255" s="7"/>
      <c r="T3255" s="7"/>
      <c r="U3255" s="7"/>
      <c r="V3255" s="7"/>
      <c r="W3255" s="7"/>
      <c r="X3255" s="7"/>
      <c r="Y3255" s="7"/>
      <c r="Z3255" s="7"/>
      <c r="AA3255" s="7"/>
      <c r="AB3255" s="7"/>
      <c r="AC3255" s="7"/>
      <c r="AD3255" s="7"/>
    </row>
    <row r="3256" spans="1:30" s="5" customFormat="1" ht="23.25" customHeight="1">
      <c r="A3256" s="289"/>
      <c r="B3256" s="456" t="s">
        <v>323</v>
      </c>
      <c r="C3256" s="346"/>
      <c r="D3256" s="280"/>
      <c r="E3256" s="346"/>
      <c r="F3256" s="337"/>
      <c r="G3256" s="337"/>
      <c r="H3256" s="412"/>
      <c r="I3256" s="339"/>
      <c r="J3256" s="284"/>
      <c r="K3256" s="43"/>
      <c r="L3256" s="43"/>
      <c r="M3256" s="43"/>
      <c r="N3256" s="7"/>
      <c r="O3256" s="7"/>
      <c r="P3256" s="7"/>
      <c r="Q3256" s="7"/>
      <c r="R3256" s="7"/>
      <c r="S3256" s="7"/>
      <c r="T3256" s="7"/>
      <c r="U3256" s="7"/>
      <c r="V3256" s="7"/>
      <c r="W3256" s="7"/>
      <c r="X3256" s="7"/>
      <c r="Y3256" s="7"/>
      <c r="Z3256" s="7"/>
      <c r="AA3256" s="7"/>
      <c r="AB3256" s="7"/>
      <c r="AC3256" s="7"/>
      <c r="AD3256" s="7"/>
    </row>
    <row r="3257" spans="1:30" s="5" customFormat="1" ht="23.25" customHeight="1">
      <c r="A3257" s="289"/>
      <c r="B3257" s="342" t="s">
        <v>317</v>
      </c>
      <c r="C3257" s="346"/>
      <c r="D3257" s="280"/>
      <c r="E3257" s="346"/>
      <c r="F3257" s="337"/>
      <c r="G3257" s="337"/>
      <c r="H3257" s="412"/>
      <c r="I3257" s="339">
        <f>I3255</f>
        <v>2961.42</v>
      </c>
      <c r="J3257" s="287" t="s">
        <v>4</v>
      </c>
      <c r="K3257" s="42"/>
      <c r="L3257" s="42"/>
      <c r="M3257" s="42"/>
      <c r="N3257" s="7"/>
      <c r="O3257" s="7"/>
      <c r="P3257" s="7"/>
      <c r="Q3257" s="7"/>
      <c r="R3257" s="7"/>
      <c r="S3257" s="7"/>
      <c r="T3257" s="7"/>
      <c r="U3257" s="7"/>
      <c r="V3257" s="7"/>
      <c r="W3257" s="7"/>
      <c r="X3257" s="7"/>
      <c r="Y3257" s="7"/>
      <c r="Z3257" s="7"/>
      <c r="AA3257" s="7"/>
      <c r="AB3257" s="7"/>
      <c r="AC3257" s="7"/>
      <c r="AD3257" s="7"/>
    </row>
    <row r="3258" spans="1:30" s="5" customFormat="1" ht="23.25" customHeight="1">
      <c r="A3258" s="289"/>
      <c r="B3258" s="456" t="s">
        <v>322</v>
      </c>
      <c r="C3258" s="346"/>
      <c r="D3258" s="280"/>
      <c r="E3258" s="346"/>
      <c r="F3258" s="337"/>
      <c r="G3258" s="337"/>
      <c r="H3258" s="412"/>
      <c r="I3258" s="339"/>
      <c r="J3258" s="284"/>
      <c r="K3258" s="43"/>
      <c r="L3258" s="43"/>
      <c r="M3258" s="43"/>
      <c r="N3258" s="7"/>
      <c r="O3258" s="7"/>
      <c r="P3258" s="7"/>
      <c r="Q3258" s="7"/>
      <c r="R3258" s="7"/>
      <c r="S3258" s="7"/>
      <c r="T3258" s="7"/>
      <c r="U3258" s="7"/>
      <c r="V3258" s="7"/>
      <c r="W3258" s="7"/>
      <c r="X3258" s="7"/>
      <c r="Y3258" s="7"/>
      <c r="Z3258" s="7"/>
      <c r="AA3258" s="7"/>
      <c r="AB3258" s="7"/>
      <c r="AC3258" s="7"/>
      <c r="AD3258" s="7"/>
    </row>
    <row r="3259" spans="1:30" s="5" customFormat="1" ht="23.25" customHeight="1">
      <c r="A3259" s="289"/>
      <c r="B3259" s="342" t="s">
        <v>317</v>
      </c>
      <c r="C3259" s="346"/>
      <c r="D3259" s="280"/>
      <c r="E3259" s="346"/>
      <c r="F3259" s="337"/>
      <c r="G3259" s="337"/>
      <c r="H3259" s="412"/>
      <c r="I3259" s="339">
        <f>I3257</f>
        <v>2961.42</v>
      </c>
      <c r="J3259" s="287" t="s">
        <v>4</v>
      </c>
      <c r="K3259" s="42"/>
      <c r="L3259" s="42"/>
      <c r="M3259" s="42"/>
      <c r="N3259" s="7"/>
      <c r="O3259" s="7"/>
      <c r="P3259" s="7"/>
      <c r="Q3259" s="7"/>
      <c r="R3259" s="7"/>
      <c r="S3259" s="7"/>
      <c r="T3259" s="7"/>
      <c r="U3259" s="7"/>
      <c r="V3259" s="7"/>
      <c r="W3259" s="7"/>
      <c r="X3259" s="7"/>
      <c r="Y3259" s="7"/>
      <c r="Z3259" s="7"/>
      <c r="AA3259" s="7"/>
      <c r="AB3259" s="7"/>
      <c r="AC3259" s="7"/>
      <c r="AD3259" s="7"/>
    </row>
    <row r="3260" spans="1:30" s="5" customFormat="1" ht="23.25" customHeight="1">
      <c r="A3260" s="289"/>
      <c r="B3260" s="456" t="s">
        <v>321</v>
      </c>
      <c r="C3260" s="346"/>
      <c r="D3260" s="280"/>
      <c r="E3260" s="346"/>
      <c r="F3260" s="337"/>
      <c r="G3260" s="337"/>
      <c r="H3260" s="412"/>
      <c r="I3260" s="339"/>
      <c r="J3260" s="284"/>
      <c r="K3260" s="43"/>
      <c r="L3260" s="43"/>
      <c r="M3260" s="43"/>
      <c r="N3260" s="7"/>
      <c r="O3260" s="7"/>
      <c r="P3260" s="7"/>
      <c r="Q3260" s="7"/>
      <c r="R3260" s="7"/>
      <c r="S3260" s="7"/>
      <c r="T3260" s="7"/>
      <c r="U3260" s="7"/>
      <c r="V3260" s="7"/>
      <c r="W3260" s="7"/>
      <c r="X3260" s="7"/>
      <c r="Y3260" s="7"/>
      <c r="Z3260" s="7"/>
      <c r="AA3260" s="7"/>
      <c r="AB3260" s="7"/>
      <c r="AC3260" s="7"/>
      <c r="AD3260" s="7"/>
    </row>
    <row r="3261" spans="1:30" s="5" customFormat="1" ht="23.25" customHeight="1">
      <c r="A3261" s="289"/>
      <c r="B3261" s="342" t="s">
        <v>317</v>
      </c>
      <c r="C3261" s="346"/>
      <c r="D3261" s="280"/>
      <c r="E3261" s="346"/>
      <c r="F3261" s="337"/>
      <c r="G3261" s="337"/>
      <c r="H3261" s="412"/>
      <c r="I3261" s="339">
        <f>I3259</f>
        <v>2961.42</v>
      </c>
      <c r="J3261" s="287" t="s">
        <v>4</v>
      </c>
      <c r="K3261" s="42"/>
      <c r="L3261" s="42"/>
      <c r="M3261" s="42"/>
      <c r="N3261" s="7"/>
      <c r="O3261" s="7"/>
      <c r="P3261" s="7"/>
      <c r="Q3261" s="7"/>
      <c r="R3261" s="7"/>
      <c r="S3261" s="7"/>
      <c r="T3261" s="7"/>
      <c r="U3261" s="7"/>
      <c r="V3261" s="7"/>
      <c r="W3261" s="7"/>
      <c r="X3261" s="7"/>
      <c r="Y3261" s="7"/>
      <c r="Z3261" s="7"/>
      <c r="AA3261" s="7"/>
      <c r="AB3261" s="7"/>
      <c r="AC3261" s="7"/>
      <c r="AD3261" s="7"/>
    </row>
    <row r="3262" spans="1:30" s="5" customFormat="1" ht="23.25" customHeight="1">
      <c r="A3262" s="289"/>
      <c r="B3262" s="456" t="s">
        <v>320</v>
      </c>
      <c r="C3262" s="346"/>
      <c r="D3262" s="280"/>
      <c r="E3262" s="346"/>
      <c r="F3262" s="337"/>
      <c r="G3262" s="337"/>
      <c r="H3262" s="412"/>
      <c r="I3262" s="339"/>
      <c r="J3262" s="284"/>
      <c r="K3262" s="43"/>
      <c r="L3262" s="43"/>
      <c r="M3262" s="43"/>
      <c r="N3262" s="7"/>
      <c r="O3262" s="7"/>
      <c r="P3262" s="7"/>
      <c r="Q3262" s="7"/>
      <c r="R3262" s="7"/>
      <c r="S3262" s="7"/>
      <c r="T3262" s="7"/>
      <c r="U3262" s="7"/>
      <c r="V3262" s="7"/>
      <c r="W3262" s="7"/>
      <c r="X3262" s="7"/>
      <c r="Y3262" s="7"/>
      <c r="Z3262" s="7"/>
      <c r="AA3262" s="7"/>
      <c r="AB3262" s="7"/>
      <c r="AC3262" s="7"/>
      <c r="AD3262" s="7"/>
    </row>
    <row r="3263" spans="1:30" s="5" customFormat="1" ht="23.25" customHeight="1">
      <c r="A3263" s="289"/>
      <c r="B3263" s="342" t="s">
        <v>317</v>
      </c>
      <c r="C3263" s="346"/>
      <c r="D3263" s="280"/>
      <c r="E3263" s="346"/>
      <c r="F3263" s="337"/>
      <c r="G3263" s="337"/>
      <c r="H3263" s="412"/>
      <c r="I3263" s="339">
        <f>I3261</f>
        <v>2961.42</v>
      </c>
      <c r="J3263" s="287" t="s">
        <v>4</v>
      </c>
      <c r="K3263" s="42"/>
      <c r="L3263" s="42"/>
      <c r="M3263" s="42"/>
      <c r="N3263" s="7"/>
      <c r="O3263" s="7"/>
      <c r="P3263" s="7"/>
      <c r="Q3263" s="7"/>
      <c r="R3263" s="7"/>
      <c r="S3263" s="7"/>
      <c r="T3263" s="7"/>
      <c r="U3263" s="7"/>
      <c r="V3263" s="7"/>
      <c r="W3263" s="7"/>
      <c r="X3263" s="7"/>
      <c r="Y3263" s="7"/>
      <c r="Z3263" s="7"/>
      <c r="AA3263" s="7"/>
      <c r="AB3263" s="7"/>
      <c r="AC3263" s="7"/>
      <c r="AD3263" s="7"/>
    </row>
    <row r="3264" spans="1:30" s="5" customFormat="1" ht="23.25" customHeight="1">
      <c r="A3264" s="289"/>
      <c r="B3264" s="456" t="s">
        <v>319</v>
      </c>
      <c r="C3264" s="346"/>
      <c r="D3264" s="280"/>
      <c r="E3264" s="346"/>
      <c r="F3264" s="337"/>
      <c r="G3264" s="337"/>
      <c r="H3264" s="412"/>
      <c r="I3264" s="339"/>
      <c r="J3264" s="284"/>
      <c r="K3264" s="43"/>
      <c r="L3264" s="43"/>
      <c r="M3264" s="43"/>
      <c r="N3264" s="7"/>
      <c r="O3264" s="7"/>
      <c r="P3264" s="7"/>
      <c r="Q3264" s="7"/>
      <c r="R3264" s="7"/>
      <c r="S3264" s="7"/>
      <c r="T3264" s="7"/>
      <c r="U3264" s="7"/>
      <c r="V3264" s="7"/>
      <c r="W3264" s="7"/>
      <c r="X3264" s="7"/>
      <c r="Y3264" s="7"/>
      <c r="Z3264" s="7"/>
      <c r="AA3264" s="7"/>
      <c r="AB3264" s="7"/>
      <c r="AC3264" s="7"/>
      <c r="AD3264" s="7"/>
    </row>
    <row r="3265" spans="1:30" s="5" customFormat="1" ht="23.25" customHeight="1">
      <c r="A3265" s="289"/>
      <c r="B3265" s="342" t="s">
        <v>317</v>
      </c>
      <c r="C3265" s="346"/>
      <c r="D3265" s="280"/>
      <c r="E3265" s="346"/>
      <c r="F3265" s="337"/>
      <c r="G3265" s="337"/>
      <c r="H3265" s="412"/>
      <c r="I3265" s="339">
        <f>I3263</f>
        <v>2961.42</v>
      </c>
      <c r="J3265" s="287" t="s">
        <v>4</v>
      </c>
      <c r="K3265" s="42"/>
      <c r="L3265" s="42"/>
      <c r="M3265" s="42"/>
      <c r="N3265" s="7"/>
      <c r="O3265" s="7"/>
      <c r="P3265" s="7"/>
      <c r="Q3265" s="7"/>
      <c r="R3265" s="7"/>
      <c r="S3265" s="7"/>
      <c r="T3265" s="7"/>
      <c r="U3265" s="7"/>
      <c r="V3265" s="7"/>
      <c r="W3265" s="7"/>
      <c r="X3265" s="7"/>
      <c r="Y3265" s="7"/>
      <c r="Z3265" s="7"/>
      <c r="AA3265" s="7"/>
      <c r="AB3265" s="7"/>
      <c r="AC3265" s="7"/>
      <c r="AD3265" s="7"/>
    </row>
    <row r="3266" spans="1:30" s="5" customFormat="1" ht="23.25" customHeight="1">
      <c r="A3266" s="289"/>
      <c r="B3266" s="456" t="s">
        <v>318</v>
      </c>
      <c r="C3266" s="346"/>
      <c r="D3266" s="280"/>
      <c r="E3266" s="346"/>
      <c r="F3266" s="337"/>
      <c r="G3266" s="337"/>
      <c r="H3266" s="412"/>
      <c r="I3266" s="339"/>
      <c r="J3266" s="284"/>
      <c r="K3266" s="43"/>
      <c r="L3266" s="43"/>
      <c r="M3266" s="43"/>
      <c r="N3266" s="7"/>
      <c r="O3266" s="7"/>
      <c r="P3266" s="7"/>
      <c r="Q3266" s="7"/>
      <c r="R3266" s="7"/>
      <c r="S3266" s="7"/>
      <c r="T3266" s="7"/>
      <c r="U3266" s="7"/>
      <c r="V3266" s="7"/>
      <c r="W3266" s="7"/>
      <c r="X3266" s="7"/>
      <c r="Y3266" s="7"/>
      <c r="Z3266" s="7"/>
      <c r="AA3266" s="7"/>
      <c r="AB3266" s="7"/>
      <c r="AC3266" s="7"/>
      <c r="AD3266" s="7"/>
    </row>
    <row r="3267" spans="1:30" s="64" customFormat="1" ht="21.75" customHeight="1">
      <c r="A3267" s="307"/>
      <c r="B3267" s="293" t="s">
        <v>316</v>
      </c>
      <c r="C3267" s="307">
        <v>1</v>
      </c>
      <c r="D3267" s="307">
        <v>1</v>
      </c>
      <c r="E3267" s="307">
        <v>3</v>
      </c>
      <c r="F3267" s="307">
        <v>19.02</v>
      </c>
      <c r="G3267" s="307"/>
      <c r="H3267" s="307">
        <v>2.9249999999999998</v>
      </c>
      <c r="I3267" s="323">
        <f t="shared" ref="I3267:I3273" si="149">PRODUCT(C3267:H3267)</f>
        <v>166.9</v>
      </c>
      <c r="J3267" s="322"/>
      <c r="K3267" s="65"/>
      <c r="L3267" s="65"/>
      <c r="M3267" s="65"/>
      <c r="N3267" s="65">
        <f>5.55+2.85+5.55+2.372+0.936+1.763</f>
        <v>19.021000000000001</v>
      </c>
      <c r="O3267" s="65">
        <f>2.85-0.125</f>
        <v>2.7250000000000001</v>
      </c>
      <c r="P3267" s="65"/>
      <c r="Q3267" s="65"/>
      <c r="R3267" s="65"/>
      <c r="S3267" s="65"/>
      <c r="T3267" s="65"/>
      <c r="U3267" s="65"/>
      <c r="V3267" s="65"/>
      <c r="W3267" s="65"/>
      <c r="X3267" s="65"/>
      <c r="Y3267" s="65"/>
      <c r="Z3267" s="65"/>
      <c r="AA3267" s="65"/>
      <c r="AB3267" s="65"/>
      <c r="AC3267" s="65"/>
      <c r="AD3267" s="65"/>
    </row>
    <row r="3268" spans="1:30" s="64" customFormat="1" ht="21.75" customHeight="1">
      <c r="A3268" s="307"/>
      <c r="B3268" s="293" t="s">
        <v>315</v>
      </c>
      <c r="C3268" s="307">
        <v>-1</v>
      </c>
      <c r="D3268" s="307">
        <v>1</v>
      </c>
      <c r="E3268" s="307">
        <v>3</v>
      </c>
      <c r="F3268" s="308">
        <v>1.5</v>
      </c>
      <c r="G3268" s="308"/>
      <c r="H3268" s="308">
        <v>2.1</v>
      </c>
      <c r="I3268" s="323">
        <f t="shared" si="149"/>
        <v>-9.4499999999999993</v>
      </c>
      <c r="J3268" s="322"/>
      <c r="K3268" s="65"/>
      <c r="L3268" s="65"/>
      <c r="M3268" s="65"/>
      <c r="N3268" s="65"/>
      <c r="O3268" s="65"/>
      <c r="P3268" s="65"/>
      <c r="Q3268" s="65"/>
      <c r="R3268" s="65"/>
      <c r="S3268" s="65"/>
      <c r="T3268" s="65"/>
      <c r="U3268" s="65"/>
      <c r="V3268" s="65"/>
      <c r="W3268" s="65"/>
      <c r="X3268" s="65"/>
      <c r="Y3268" s="65"/>
      <c r="Z3268" s="65"/>
      <c r="AA3268" s="65"/>
      <c r="AB3268" s="65"/>
      <c r="AC3268" s="65"/>
      <c r="AD3268" s="65"/>
    </row>
    <row r="3269" spans="1:30" s="64" customFormat="1" ht="21.75" customHeight="1">
      <c r="A3269" s="307"/>
      <c r="B3269" s="293" t="s">
        <v>314</v>
      </c>
      <c r="C3269" s="307">
        <v>1</v>
      </c>
      <c r="D3269" s="307">
        <v>1</v>
      </c>
      <c r="E3269" s="307">
        <v>3</v>
      </c>
      <c r="F3269" s="308">
        <f>1.5+2.1+2.1</f>
        <v>5.7</v>
      </c>
      <c r="G3269" s="307">
        <v>0.23</v>
      </c>
      <c r="H3269" s="307"/>
      <c r="I3269" s="323">
        <f t="shared" si="149"/>
        <v>3.93</v>
      </c>
      <c r="J3269" s="322"/>
      <c r="K3269" s="65"/>
      <c r="L3269" s="65"/>
      <c r="M3269" s="65"/>
      <c r="N3269" s="65"/>
      <c r="O3269" s="65"/>
      <c r="P3269" s="65"/>
      <c r="Q3269" s="65"/>
      <c r="R3269" s="65"/>
      <c r="S3269" s="65"/>
      <c r="T3269" s="65"/>
      <c r="U3269" s="65"/>
      <c r="V3269" s="65"/>
      <c r="W3269" s="65"/>
      <c r="X3269" s="65"/>
      <c r="Y3269" s="65"/>
      <c r="Z3269" s="65"/>
      <c r="AA3269" s="65"/>
      <c r="AB3269" s="65"/>
      <c r="AC3269" s="65"/>
      <c r="AD3269" s="65"/>
    </row>
    <row r="3270" spans="1:30" s="64" customFormat="1" ht="21.75" customHeight="1">
      <c r="A3270" s="307"/>
      <c r="B3270" s="293" t="s">
        <v>232</v>
      </c>
      <c r="C3270" s="307">
        <v>-1</v>
      </c>
      <c r="D3270" s="307">
        <v>1</v>
      </c>
      <c r="E3270" s="307">
        <v>3</v>
      </c>
      <c r="F3270" s="308">
        <v>1.8</v>
      </c>
      <c r="G3270" s="307"/>
      <c r="H3270" s="307">
        <v>1.35</v>
      </c>
      <c r="I3270" s="323">
        <f t="shared" si="149"/>
        <v>-7.29</v>
      </c>
      <c r="J3270" s="322"/>
      <c r="K3270" s="65"/>
      <c r="L3270" s="65"/>
      <c r="M3270" s="65"/>
      <c r="N3270" s="65"/>
      <c r="O3270" s="65"/>
      <c r="P3270" s="65"/>
      <c r="Q3270" s="65"/>
      <c r="R3270" s="65"/>
      <c r="S3270" s="65"/>
      <c r="T3270" s="65"/>
      <c r="U3270" s="65"/>
      <c r="V3270" s="65"/>
      <c r="W3270" s="65"/>
      <c r="X3270" s="65"/>
      <c r="Y3270" s="65"/>
      <c r="Z3270" s="65"/>
      <c r="AA3270" s="65"/>
      <c r="AB3270" s="65"/>
      <c r="AC3270" s="65"/>
      <c r="AD3270" s="65"/>
    </row>
    <row r="3271" spans="1:30" s="64" customFormat="1" ht="21.75" customHeight="1">
      <c r="A3271" s="307"/>
      <c r="B3271" s="293" t="s">
        <v>313</v>
      </c>
      <c r="C3271" s="307">
        <v>1</v>
      </c>
      <c r="D3271" s="307">
        <v>1</v>
      </c>
      <c r="E3271" s="307">
        <v>3</v>
      </c>
      <c r="F3271" s="308">
        <f>1.8+1.35+1.8+1.35</f>
        <v>6.3</v>
      </c>
      <c r="G3271" s="307">
        <v>0.23</v>
      </c>
      <c r="H3271" s="307"/>
      <c r="I3271" s="323">
        <f t="shared" si="149"/>
        <v>4.3499999999999996</v>
      </c>
      <c r="J3271" s="322"/>
      <c r="K3271" s="65"/>
      <c r="L3271" s="65"/>
      <c r="M3271" s="65"/>
      <c r="N3271" s="65"/>
      <c r="O3271" s="65"/>
      <c r="P3271" s="65"/>
      <c r="Q3271" s="65"/>
      <c r="R3271" s="65"/>
      <c r="S3271" s="65"/>
      <c r="T3271" s="65"/>
      <c r="U3271" s="65"/>
      <c r="V3271" s="65"/>
      <c r="W3271" s="65"/>
      <c r="X3271" s="65"/>
      <c r="Y3271" s="65"/>
      <c r="Z3271" s="65"/>
      <c r="AA3271" s="65"/>
      <c r="AB3271" s="65"/>
      <c r="AC3271" s="65"/>
      <c r="AD3271" s="65"/>
    </row>
    <row r="3272" spans="1:30" s="64" customFormat="1" ht="21.75" customHeight="1">
      <c r="A3272" s="321"/>
      <c r="B3272" s="293" t="s">
        <v>231</v>
      </c>
      <c r="C3272" s="307">
        <v>-1</v>
      </c>
      <c r="D3272" s="307">
        <v>2</v>
      </c>
      <c r="E3272" s="307">
        <v>3</v>
      </c>
      <c r="F3272" s="308">
        <v>1.2</v>
      </c>
      <c r="G3272" s="307"/>
      <c r="H3272" s="307">
        <v>1.35</v>
      </c>
      <c r="I3272" s="323">
        <f t="shared" si="149"/>
        <v>-9.7200000000000006</v>
      </c>
      <c r="J3272" s="322"/>
      <c r="K3272" s="65"/>
      <c r="L3272" s="65"/>
      <c r="M3272" s="65"/>
      <c r="N3272" s="65"/>
      <c r="O3272" s="65"/>
      <c r="P3272" s="65"/>
      <c r="Q3272" s="65"/>
      <c r="R3272" s="65"/>
      <c r="S3272" s="65"/>
      <c r="T3272" s="65"/>
      <c r="U3272" s="65"/>
      <c r="V3272" s="65"/>
      <c r="W3272" s="65"/>
      <c r="X3272" s="65"/>
      <c r="Y3272" s="65"/>
      <c r="Z3272" s="65"/>
      <c r="AA3272" s="65"/>
      <c r="AB3272" s="65"/>
      <c r="AC3272" s="65"/>
      <c r="AD3272" s="65"/>
    </row>
    <row r="3273" spans="1:30" s="64" customFormat="1" ht="21.75" customHeight="1">
      <c r="A3273" s="321"/>
      <c r="B3273" s="293" t="s">
        <v>312</v>
      </c>
      <c r="C3273" s="307">
        <v>1</v>
      </c>
      <c r="D3273" s="307">
        <v>2</v>
      </c>
      <c r="E3273" s="307">
        <v>3</v>
      </c>
      <c r="F3273" s="308">
        <f>1.2+1.35+1.2+1.35</f>
        <v>5.0999999999999996</v>
      </c>
      <c r="G3273" s="307">
        <v>0.23</v>
      </c>
      <c r="H3273" s="307"/>
      <c r="I3273" s="323">
        <f t="shared" si="149"/>
        <v>7.04</v>
      </c>
      <c r="J3273" s="322"/>
      <c r="K3273" s="65"/>
      <c r="L3273" s="65"/>
      <c r="M3273" s="65"/>
      <c r="N3273" s="65"/>
      <c r="O3273" s="65"/>
      <c r="P3273" s="65"/>
      <c r="Q3273" s="65"/>
      <c r="R3273" s="65"/>
      <c r="S3273" s="65"/>
      <c r="T3273" s="65"/>
      <c r="U3273" s="65"/>
      <c r="V3273" s="65"/>
      <c r="W3273" s="65"/>
      <c r="X3273" s="65"/>
      <c r="Y3273" s="65"/>
      <c r="Z3273" s="65"/>
      <c r="AA3273" s="65"/>
      <c r="AB3273" s="65"/>
      <c r="AC3273" s="65"/>
      <c r="AD3273" s="65"/>
    </row>
    <row r="3274" spans="1:30" s="91" customFormat="1" ht="23.25" customHeight="1">
      <c r="A3274" s="278"/>
      <c r="B3274" s="286"/>
      <c r="C3274" s="280"/>
      <c r="D3274" s="280"/>
      <c r="E3274" s="280"/>
      <c r="F3274" s="282"/>
      <c r="G3274" s="589" t="s">
        <v>60</v>
      </c>
      <c r="H3274" s="590"/>
      <c r="I3274" s="416">
        <f>SUM(I3265:I3273)</f>
        <v>3117.18</v>
      </c>
      <c r="J3274" s="343" t="s">
        <v>4</v>
      </c>
      <c r="K3274" s="44"/>
      <c r="L3274" s="44"/>
      <c r="M3274" s="44"/>
    </row>
    <row r="3275" spans="1:30" s="45" customFormat="1" ht="23.25" customHeight="1">
      <c r="A3275" s="278"/>
      <c r="B3275" s="279"/>
      <c r="C3275" s="280"/>
      <c r="D3275" s="280"/>
      <c r="E3275" s="280"/>
      <c r="F3275" s="282"/>
      <c r="G3275" s="589" t="s">
        <v>311</v>
      </c>
      <c r="H3275" s="590"/>
      <c r="I3275" s="416">
        <f>I3265+I3263+I3261+I3259+I3257+I3255+I3253+I3251+I3249+I3247+I3130</f>
        <v>31124.87</v>
      </c>
      <c r="J3275" s="343" t="s">
        <v>4</v>
      </c>
      <c r="K3275" s="44"/>
      <c r="L3275" s="44"/>
      <c r="M3275" s="44"/>
    </row>
    <row r="3276" spans="1:30" s="45" customFormat="1" ht="23.25" customHeight="1">
      <c r="A3276" s="278"/>
      <c r="B3276" s="279"/>
      <c r="C3276" s="280"/>
      <c r="D3276" s="280"/>
      <c r="E3276" s="280"/>
      <c r="F3276" s="282"/>
      <c r="G3276" s="589" t="s">
        <v>55</v>
      </c>
      <c r="H3276" s="590"/>
      <c r="I3276" s="416">
        <f>ROUNDUP(I3275,0)</f>
        <v>31125</v>
      </c>
      <c r="J3276" s="343" t="s">
        <v>4</v>
      </c>
      <c r="K3276" s="44"/>
      <c r="L3276" s="44"/>
      <c r="M3276" s="44"/>
    </row>
    <row r="3277" spans="1:30" s="73" customFormat="1" ht="31.5" customHeight="1">
      <c r="A3277" s="278"/>
      <c r="B3277" s="279"/>
      <c r="C3277" s="280"/>
      <c r="D3277" s="280"/>
      <c r="E3277" s="280"/>
      <c r="F3277" s="282"/>
      <c r="G3277" s="282"/>
      <c r="H3277" s="282"/>
      <c r="I3277" s="416"/>
      <c r="J3277" s="343"/>
      <c r="K3277" s="44"/>
      <c r="L3277" s="44"/>
      <c r="M3277" s="44"/>
      <c r="N3277" s="74"/>
      <c r="O3277" s="74"/>
      <c r="P3277" s="74"/>
      <c r="Q3277" s="74"/>
      <c r="R3277" s="74"/>
      <c r="S3277" s="74"/>
      <c r="T3277" s="74"/>
      <c r="U3277" s="74"/>
      <c r="V3277" s="74"/>
      <c r="W3277" s="74"/>
      <c r="X3277" s="74"/>
      <c r="Y3277" s="74"/>
      <c r="Z3277" s="74"/>
      <c r="AA3277" s="74"/>
      <c r="AB3277" s="74"/>
      <c r="AC3277" s="74"/>
      <c r="AD3277" s="74"/>
    </row>
    <row r="3278" spans="1:30" s="8" customFormat="1" ht="37.5" customHeight="1">
      <c r="A3278" s="473">
        <v>207.1</v>
      </c>
      <c r="B3278" s="474" t="s">
        <v>310</v>
      </c>
      <c r="C3278" s="539"/>
      <c r="D3278" s="475"/>
      <c r="E3278" s="539"/>
      <c r="F3278" s="486"/>
      <c r="G3278" s="486"/>
      <c r="H3278" s="486"/>
      <c r="I3278" s="540"/>
      <c r="J3278" s="506"/>
      <c r="K3278" s="127"/>
      <c r="L3278" s="127"/>
      <c r="M3278" s="127"/>
      <c r="N3278" s="60"/>
      <c r="O3278" s="60"/>
      <c r="P3278" s="60"/>
      <c r="Q3278" s="60"/>
      <c r="R3278" s="60"/>
      <c r="S3278" s="60"/>
      <c r="T3278" s="60"/>
      <c r="U3278" s="60"/>
      <c r="V3278" s="60"/>
      <c r="W3278" s="60"/>
      <c r="X3278" s="60"/>
      <c r="Y3278" s="60"/>
      <c r="Z3278" s="60"/>
      <c r="AA3278" s="60"/>
      <c r="AB3278" s="60"/>
      <c r="AC3278" s="60"/>
      <c r="AD3278" s="60"/>
    </row>
    <row r="3279" spans="1:30" s="5" customFormat="1" ht="23.25" customHeight="1">
      <c r="A3279" s="289"/>
      <c r="B3279" s="319" t="s">
        <v>617</v>
      </c>
      <c r="C3279" s="346"/>
      <c r="D3279" s="280"/>
      <c r="E3279" s="346"/>
      <c r="F3279" s="337"/>
      <c r="G3279" s="337"/>
      <c r="H3279" s="412"/>
      <c r="I3279" s="339"/>
      <c r="J3279" s="284"/>
      <c r="K3279" s="43"/>
      <c r="L3279" s="43"/>
      <c r="M3279" s="43"/>
      <c r="N3279" s="7"/>
      <c r="O3279" s="7"/>
      <c r="P3279" s="7"/>
      <c r="Q3279" s="7"/>
      <c r="R3279" s="7"/>
      <c r="S3279" s="7"/>
      <c r="T3279" s="7"/>
      <c r="U3279" s="7"/>
      <c r="V3279" s="7"/>
      <c r="W3279" s="7"/>
      <c r="X3279" s="7"/>
      <c r="Y3279" s="7"/>
      <c r="Z3279" s="7"/>
      <c r="AA3279" s="7"/>
      <c r="AB3279" s="7"/>
      <c r="AC3279" s="7"/>
      <c r="AD3279" s="7"/>
    </row>
    <row r="3280" spans="1:30" s="33" customFormat="1" ht="18.75" customHeight="1">
      <c r="A3280" s="289"/>
      <c r="B3280" s="319" t="s">
        <v>616</v>
      </c>
      <c r="C3280" s="346"/>
      <c r="D3280" s="280"/>
      <c r="E3280" s="346"/>
      <c r="F3280" s="337"/>
      <c r="G3280" s="337"/>
      <c r="H3280" s="412"/>
      <c r="I3280" s="339"/>
      <c r="J3280" s="284"/>
      <c r="K3280" s="43"/>
      <c r="L3280" s="43"/>
      <c r="M3280" s="43"/>
      <c r="N3280" s="34"/>
      <c r="O3280" s="34"/>
      <c r="P3280" s="34"/>
      <c r="Q3280" s="34"/>
      <c r="R3280" s="34"/>
      <c r="S3280" s="34"/>
      <c r="T3280" s="34"/>
      <c r="U3280" s="34"/>
      <c r="V3280" s="34"/>
      <c r="W3280" s="34"/>
      <c r="X3280" s="34"/>
      <c r="Y3280" s="34"/>
      <c r="Z3280" s="34"/>
      <c r="AA3280" s="34"/>
      <c r="AB3280" s="34"/>
      <c r="AC3280" s="34"/>
      <c r="AD3280" s="34"/>
    </row>
    <row r="3281" spans="1:30" s="67" customFormat="1" ht="20.25" customHeight="1">
      <c r="A3281" s="294"/>
      <c r="B3281" s="302" t="s">
        <v>615</v>
      </c>
      <c r="C3281" s="294">
        <v>1</v>
      </c>
      <c r="D3281" s="294">
        <v>1</v>
      </c>
      <c r="E3281" s="294">
        <v>1</v>
      </c>
      <c r="F3281" s="300">
        <v>213.64599999999999</v>
      </c>
      <c r="G3281" s="295"/>
      <c r="H3281" s="295">
        <v>1</v>
      </c>
      <c r="I3281" s="298">
        <f>PRODUCT(C3281:H3281)</f>
        <v>213.65</v>
      </c>
      <c r="J3281" s="303"/>
    </row>
    <row r="3282" spans="1:30" s="67" customFormat="1" ht="20.25" customHeight="1">
      <c r="A3282" s="294"/>
      <c r="B3282" s="319" t="s">
        <v>238</v>
      </c>
      <c r="C3282" s="294"/>
      <c r="D3282" s="294"/>
      <c r="E3282" s="294"/>
      <c r="F3282" s="295"/>
      <c r="G3282" s="295"/>
      <c r="H3282" s="300"/>
      <c r="I3282" s="298"/>
      <c r="J3282" s="303"/>
    </row>
    <row r="3283" spans="1:30" s="71" customFormat="1" ht="20.25" customHeight="1">
      <c r="A3283" s="294"/>
      <c r="B3283" s="302" t="s">
        <v>237</v>
      </c>
      <c r="C3283" s="294">
        <v>1</v>
      </c>
      <c r="D3283" s="294">
        <v>1</v>
      </c>
      <c r="E3283" s="294">
        <v>1</v>
      </c>
      <c r="F3283" s="300">
        <v>213.64599999999999</v>
      </c>
      <c r="G3283" s="294"/>
      <c r="H3283" s="295">
        <v>33.1</v>
      </c>
      <c r="I3283" s="298">
        <f t="shared" ref="I3283:I3327" si="150">PRODUCT(C3283:H3283)</f>
        <v>7071.68</v>
      </c>
      <c r="J3283" s="303"/>
      <c r="K3283" s="72"/>
      <c r="L3283" s="72"/>
      <c r="M3283" s="72"/>
      <c r="N3283" s="72">
        <f>2.85*15</f>
        <v>42.75</v>
      </c>
      <c r="O3283" s="72">
        <f>N3283+1.5+0.23</f>
        <v>44.48</v>
      </c>
      <c r="P3283" s="72"/>
      <c r="Q3283" s="72"/>
      <c r="R3283" s="72"/>
      <c r="S3283" s="72"/>
      <c r="T3283" s="72"/>
      <c r="U3283" s="72"/>
      <c r="V3283" s="72"/>
      <c r="W3283" s="72"/>
      <c r="X3283" s="72"/>
      <c r="Y3283" s="72"/>
      <c r="Z3283" s="72"/>
      <c r="AA3283" s="72"/>
      <c r="AB3283" s="72"/>
      <c r="AC3283" s="72"/>
      <c r="AD3283" s="72"/>
    </row>
    <row r="3284" spans="1:30" s="66" customFormat="1" ht="20.25" customHeight="1">
      <c r="A3284" s="294"/>
      <c r="B3284" s="302" t="s">
        <v>236</v>
      </c>
      <c r="C3284" s="294">
        <v>-1</v>
      </c>
      <c r="D3284" s="294">
        <v>1</v>
      </c>
      <c r="E3284" s="294">
        <v>2</v>
      </c>
      <c r="F3284" s="300">
        <v>3.0150000000000001</v>
      </c>
      <c r="G3284" s="295"/>
      <c r="H3284" s="295">
        <v>2.4500000000000002</v>
      </c>
      <c r="I3284" s="298">
        <f t="shared" si="150"/>
        <v>-14.77</v>
      </c>
      <c r="J3284" s="303"/>
      <c r="K3284" s="67"/>
      <c r="L3284" s="67"/>
      <c r="M3284" s="67"/>
      <c r="N3284" s="67"/>
      <c r="O3284" s="67"/>
      <c r="P3284" s="67"/>
      <c r="Q3284" s="67"/>
      <c r="R3284" s="67"/>
      <c r="S3284" s="67"/>
      <c r="T3284" s="67"/>
      <c r="U3284" s="67"/>
      <c r="V3284" s="67"/>
      <c r="W3284" s="67"/>
      <c r="X3284" s="67"/>
      <c r="Y3284" s="67"/>
      <c r="Z3284" s="67"/>
      <c r="AA3284" s="67"/>
      <c r="AB3284" s="67"/>
      <c r="AC3284" s="67"/>
      <c r="AD3284" s="67"/>
    </row>
    <row r="3285" spans="1:30" s="66" customFormat="1" ht="20.25" customHeight="1">
      <c r="A3285" s="294"/>
      <c r="B3285" s="302" t="s">
        <v>236</v>
      </c>
      <c r="C3285" s="294">
        <v>-1</v>
      </c>
      <c r="D3285" s="294">
        <v>1</v>
      </c>
      <c r="E3285" s="294">
        <v>2</v>
      </c>
      <c r="F3285" s="300">
        <v>2.33</v>
      </c>
      <c r="G3285" s="295"/>
      <c r="H3285" s="295">
        <v>2.4500000000000002</v>
      </c>
      <c r="I3285" s="298">
        <f t="shared" si="150"/>
        <v>-11.42</v>
      </c>
      <c r="J3285" s="303"/>
      <c r="K3285" s="67"/>
      <c r="L3285" s="67"/>
      <c r="M3285" s="67"/>
      <c r="N3285" s="67"/>
      <c r="O3285" s="67">
        <f>2.85-0.4</f>
        <v>2.4500000000000002</v>
      </c>
      <c r="P3285" s="67"/>
      <c r="Q3285" s="67"/>
      <c r="R3285" s="67"/>
      <c r="S3285" s="67"/>
      <c r="T3285" s="67"/>
      <c r="U3285" s="67"/>
      <c r="V3285" s="67"/>
      <c r="W3285" s="67"/>
      <c r="X3285" s="67"/>
      <c r="Y3285" s="67"/>
      <c r="Z3285" s="67"/>
      <c r="AA3285" s="67"/>
      <c r="AB3285" s="67"/>
      <c r="AC3285" s="67"/>
      <c r="AD3285" s="67"/>
    </row>
    <row r="3286" spans="1:30" s="66" customFormat="1" ht="20.25" customHeight="1">
      <c r="A3286" s="294"/>
      <c r="B3286" s="302" t="s">
        <v>236</v>
      </c>
      <c r="C3286" s="294">
        <v>-1</v>
      </c>
      <c r="D3286" s="294">
        <v>1</v>
      </c>
      <c r="E3286" s="294">
        <v>2</v>
      </c>
      <c r="F3286" s="300">
        <v>2.2799999999999998</v>
      </c>
      <c r="G3286" s="295"/>
      <c r="H3286" s="295">
        <v>2.4500000000000002</v>
      </c>
      <c r="I3286" s="298">
        <f t="shared" si="150"/>
        <v>-11.17</v>
      </c>
      <c r="J3286" s="303"/>
      <c r="K3286" s="67"/>
      <c r="L3286" s="67"/>
      <c r="M3286" s="67"/>
      <c r="N3286" s="67"/>
      <c r="O3286" s="67"/>
      <c r="P3286" s="67"/>
      <c r="Q3286" s="67"/>
      <c r="R3286" s="67"/>
      <c r="S3286" s="67"/>
      <c r="T3286" s="67"/>
      <c r="U3286" s="67"/>
      <c r="V3286" s="67"/>
      <c r="W3286" s="67"/>
      <c r="X3286" s="67"/>
      <c r="Y3286" s="67"/>
      <c r="Z3286" s="67"/>
      <c r="AA3286" s="67"/>
      <c r="AB3286" s="67"/>
      <c r="AC3286" s="67"/>
      <c r="AD3286" s="67"/>
    </row>
    <row r="3287" spans="1:30" s="66" customFormat="1" ht="20.25" customHeight="1">
      <c r="A3287" s="294"/>
      <c r="B3287" s="302" t="s">
        <v>236</v>
      </c>
      <c r="C3287" s="294">
        <v>-1</v>
      </c>
      <c r="D3287" s="294">
        <v>1</v>
      </c>
      <c r="E3287" s="294">
        <v>2</v>
      </c>
      <c r="F3287" s="300">
        <v>2.9449999999999998</v>
      </c>
      <c r="G3287" s="295"/>
      <c r="H3287" s="295">
        <v>2.4500000000000002</v>
      </c>
      <c r="I3287" s="298">
        <f t="shared" si="150"/>
        <v>-14.43</v>
      </c>
      <c r="J3287" s="303"/>
      <c r="K3287" s="67"/>
      <c r="L3287" s="67"/>
      <c r="M3287" s="67"/>
      <c r="N3287" s="67"/>
      <c r="O3287" s="67"/>
      <c r="P3287" s="67"/>
      <c r="Q3287" s="67"/>
      <c r="R3287" s="67"/>
      <c r="S3287" s="67"/>
      <c r="T3287" s="67"/>
      <c r="U3287" s="67"/>
      <c r="V3287" s="67"/>
      <c r="W3287" s="67"/>
      <c r="X3287" s="67"/>
      <c r="Y3287" s="67"/>
      <c r="Z3287" s="67"/>
      <c r="AA3287" s="67"/>
      <c r="AB3287" s="67"/>
      <c r="AC3287" s="67"/>
      <c r="AD3287" s="67"/>
    </row>
    <row r="3288" spans="1:30" s="66" customFormat="1" ht="20.25" customHeight="1">
      <c r="A3288" s="294"/>
      <c r="B3288" s="302" t="s">
        <v>236</v>
      </c>
      <c r="C3288" s="294">
        <v>-1</v>
      </c>
      <c r="D3288" s="294">
        <v>2</v>
      </c>
      <c r="E3288" s="294">
        <v>2</v>
      </c>
      <c r="F3288" s="300">
        <v>3.0950000000000002</v>
      </c>
      <c r="G3288" s="295"/>
      <c r="H3288" s="295">
        <v>2.4500000000000002</v>
      </c>
      <c r="I3288" s="298">
        <f t="shared" si="150"/>
        <v>-30.33</v>
      </c>
      <c r="J3288" s="303"/>
      <c r="K3288" s="67"/>
      <c r="L3288" s="67"/>
      <c r="M3288" s="67"/>
      <c r="N3288" s="67"/>
      <c r="O3288" s="67"/>
      <c r="P3288" s="67"/>
      <c r="Q3288" s="67"/>
      <c r="R3288" s="67"/>
      <c r="S3288" s="67"/>
      <c r="T3288" s="67"/>
      <c r="U3288" s="67"/>
      <c r="V3288" s="67"/>
      <c r="W3288" s="67"/>
      <c r="X3288" s="67"/>
      <c r="Y3288" s="67"/>
      <c r="Z3288" s="67"/>
      <c r="AA3288" s="67"/>
      <c r="AB3288" s="67"/>
      <c r="AC3288" s="67"/>
      <c r="AD3288" s="67"/>
    </row>
    <row r="3289" spans="1:30" s="66" customFormat="1" ht="20.25" customHeight="1">
      <c r="A3289" s="294"/>
      <c r="B3289" s="302" t="s">
        <v>614</v>
      </c>
      <c r="C3289" s="294">
        <v>-1</v>
      </c>
      <c r="D3289" s="294">
        <v>1</v>
      </c>
      <c r="E3289" s="294">
        <v>1</v>
      </c>
      <c r="F3289" s="300">
        <v>2.2999999999999998</v>
      </c>
      <c r="G3289" s="295"/>
      <c r="H3289" s="295">
        <v>2.4500000000000002</v>
      </c>
      <c r="I3289" s="298">
        <f t="shared" si="150"/>
        <v>-5.64</v>
      </c>
      <c r="J3289" s="303"/>
      <c r="K3289" s="67"/>
      <c r="L3289" s="67"/>
      <c r="M3289" s="67"/>
      <c r="N3289" s="67"/>
      <c r="O3289" s="67"/>
      <c r="P3289" s="67"/>
      <c r="Q3289" s="67"/>
      <c r="R3289" s="67"/>
      <c r="S3289" s="67"/>
      <c r="T3289" s="67"/>
      <c r="U3289" s="67"/>
      <c r="V3289" s="67"/>
      <c r="W3289" s="67"/>
      <c r="X3289" s="67"/>
      <c r="Y3289" s="67"/>
      <c r="Z3289" s="67"/>
      <c r="AA3289" s="67"/>
      <c r="AB3289" s="67"/>
      <c r="AC3289" s="67"/>
      <c r="AD3289" s="67"/>
    </row>
    <row r="3290" spans="1:30" s="66" customFormat="1" ht="20.25" customHeight="1">
      <c r="A3290" s="294"/>
      <c r="B3290" s="302" t="s">
        <v>614</v>
      </c>
      <c r="C3290" s="294">
        <v>-1</v>
      </c>
      <c r="D3290" s="294">
        <v>1</v>
      </c>
      <c r="E3290" s="294">
        <v>3</v>
      </c>
      <c r="F3290" s="300">
        <v>1.75</v>
      </c>
      <c r="G3290" s="295"/>
      <c r="H3290" s="295">
        <v>2.4500000000000002</v>
      </c>
      <c r="I3290" s="298">
        <f t="shared" si="150"/>
        <v>-12.86</v>
      </c>
      <c r="J3290" s="303"/>
      <c r="K3290" s="67"/>
      <c r="L3290" s="67"/>
      <c r="M3290" s="67"/>
      <c r="N3290" s="67"/>
      <c r="O3290" s="67"/>
      <c r="P3290" s="67"/>
      <c r="Q3290" s="67"/>
      <c r="R3290" s="67"/>
      <c r="S3290" s="67"/>
      <c r="T3290" s="67"/>
      <c r="U3290" s="67"/>
      <c r="V3290" s="67"/>
      <c r="W3290" s="67"/>
      <c r="X3290" s="67"/>
      <c r="Y3290" s="67"/>
      <c r="Z3290" s="67"/>
      <c r="AA3290" s="67"/>
      <c r="AB3290" s="67"/>
      <c r="AC3290" s="67"/>
      <c r="AD3290" s="67"/>
    </row>
    <row r="3291" spans="1:30" s="66" customFormat="1" ht="20.25" customHeight="1">
      <c r="A3291" s="294"/>
      <c r="B3291" s="302" t="s">
        <v>235</v>
      </c>
      <c r="C3291" s="294">
        <v>-1</v>
      </c>
      <c r="D3291" s="294">
        <v>1</v>
      </c>
      <c r="E3291" s="294">
        <v>4</v>
      </c>
      <c r="F3291" s="300">
        <v>1.5</v>
      </c>
      <c r="G3291" s="295"/>
      <c r="H3291" s="295">
        <v>1.35</v>
      </c>
      <c r="I3291" s="298">
        <f t="shared" si="150"/>
        <v>-8.1</v>
      </c>
      <c r="J3291" s="303"/>
      <c r="K3291" s="67"/>
      <c r="L3291" s="67"/>
      <c r="M3291" s="67"/>
      <c r="N3291" s="67"/>
      <c r="O3291" s="67"/>
      <c r="P3291" s="67"/>
      <c r="Q3291" s="67"/>
      <c r="R3291" s="67"/>
      <c r="S3291" s="67"/>
      <c r="T3291" s="67"/>
      <c r="U3291" s="67"/>
      <c r="V3291" s="67"/>
      <c r="W3291" s="67"/>
      <c r="X3291" s="67"/>
      <c r="Y3291" s="67"/>
      <c r="Z3291" s="67"/>
      <c r="AA3291" s="67"/>
      <c r="AB3291" s="67"/>
      <c r="AC3291" s="67"/>
      <c r="AD3291" s="67"/>
    </row>
    <row r="3292" spans="1:30" s="66" customFormat="1" ht="20.25" customHeight="1">
      <c r="A3292" s="294"/>
      <c r="B3292" s="302" t="s">
        <v>234</v>
      </c>
      <c r="C3292" s="294">
        <v>-10</v>
      </c>
      <c r="D3292" s="294">
        <v>1</v>
      </c>
      <c r="E3292" s="294">
        <v>12</v>
      </c>
      <c r="F3292" s="300">
        <v>1.8</v>
      </c>
      <c r="G3292" s="295"/>
      <c r="H3292" s="295">
        <v>1.35</v>
      </c>
      <c r="I3292" s="298">
        <f t="shared" si="150"/>
        <v>-291.60000000000002</v>
      </c>
      <c r="J3292" s="303"/>
      <c r="K3292" s="67"/>
      <c r="L3292" s="67"/>
      <c r="M3292" s="67"/>
      <c r="N3292" s="67"/>
      <c r="O3292" s="67"/>
      <c r="P3292" s="67"/>
      <c r="Q3292" s="67"/>
      <c r="R3292" s="67"/>
      <c r="S3292" s="67"/>
      <c r="T3292" s="67"/>
      <c r="U3292" s="67"/>
      <c r="V3292" s="67"/>
      <c r="W3292" s="67"/>
      <c r="X3292" s="67"/>
      <c r="Y3292" s="67"/>
      <c r="Z3292" s="67"/>
      <c r="AA3292" s="67"/>
      <c r="AB3292" s="67"/>
      <c r="AC3292" s="67"/>
      <c r="AD3292" s="67"/>
    </row>
    <row r="3293" spans="1:30" s="66" customFormat="1" ht="20.25" customHeight="1">
      <c r="A3293" s="294"/>
      <c r="B3293" s="302" t="s">
        <v>233</v>
      </c>
      <c r="C3293" s="294">
        <v>-10</v>
      </c>
      <c r="D3293" s="294">
        <v>1</v>
      </c>
      <c r="E3293" s="294">
        <v>4</v>
      </c>
      <c r="F3293" s="300">
        <v>1.5</v>
      </c>
      <c r="G3293" s="295"/>
      <c r="H3293" s="295">
        <v>1.35</v>
      </c>
      <c r="I3293" s="298">
        <f t="shared" si="150"/>
        <v>-81</v>
      </c>
      <c r="J3293" s="303"/>
      <c r="K3293" s="67"/>
      <c r="L3293" s="67"/>
      <c r="M3293" s="67"/>
      <c r="N3293" s="67"/>
      <c r="O3293" s="67"/>
      <c r="P3293" s="67"/>
      <c r="Q3293" s="67"/>
      <c r="R3293" s="67"/>
      <c r="S3293" s="67"/>
      <c r="T3293" s="67"/>
      <c r="U3293" s="67"/>
      <c r="V3293" s="67"/>
      <c r="W3293" s="67"/>
      <c r="X3293" s="67"/>
      <c r="Y3293" s="67"/>
      <c r="Z3293" s="67"/>
      <c r="AA3293" s="67"/>
      <c r="AB3293" s="67"/>
      <c r="AC3293" s="67"/>
      <c r="AD3293" s="67"/>
    </row>
    <row r="3294" spans="1:30" s="66" customFormat="1" ht="20.25" customHeight="1">
      <c r="A3294" s="294"/>
      <c r="B3294" s="302" t="s">
        <v>232</v>
      </c>
      <c r="C3294" s="294">
        <v>-10</v>
      </c>
      <c r="D3294" s="294">
        <v>1</v>
      </c>
      <c r="E3294" s="294">
        <v>3</v>
      </c>
      <c r="F3294" s="300">
        <v>1.8</v>
      </c>
      <c r="G3294" s="295"/>
      <c r="H3294" s="295">
        <v>1.35</v>
      </c>
      <c r="I3294" s="298">
        <f t="shared" si="150"/>
        <v>-72.900000000000006</v>
      </c>
      <c r="J3294" s="303"/>
      <c r="K3294" s="67"/>
      <c r="L3294" s="67"/>
      <c r="M3294" s="67"/>
      <c r="N3294" s="67"/>
      <c r="O3294" s="67"/>
      <c r="P3294" s="67"/>
      <c r="Q3294" s="67"/>
      <c r="R3294" s="67"/>
      <c r="S3294" s="67"/>
      <c r="T3294" s="67"/>
      <c r="U3294" s="67"/>
      <c r="V3294" s="67"/>
      <c r="W3294" s="67"/>
      <c r="X3294" s="67"/>
      <c r="Y3294" s="67"/>
      <c r="Z3294" s="67"/>
      <c r="AA3294" s="67"/>
      <c r="AB3294" s="67"/>
      <c r="AC3294" s="67"/>
      <c r="AD3294" s="67"/>
    </row>
    <row r="3295" spans="1:30" s="66" customFormat="1" ht="20.25" customHeight="1">
      <c r="A3295" s="294"/>
      <c r="B3295" s="302" t="s">
        <v>231</v>
      </c>
      <c r="C3295" s="294">
        <v>-10</v>
      </c>
      <c r="D3295" s="294">
        <v>1</v>
      </c>
      <c r="E3295" s="294">
        <v>6</v>
      </c>
      <c r="F3295" s="300">
        <v>1.2</v>
      </c>
      <c r="G3295" s="295"/>
      <c r="H3295" s="295">
        <v>1.35</v>
      </c>
      <c r="I3295" s="298">
        <f t="shared" si="150"/>
        <v>-97.2</v>
      </c>
      <c r="J3295" s="303"/>
      <c r="K3295" s="67"/>
      <c r="L3295" s="67"/>
      <c r="M3295" s="67"/>
      <c r="N3295" s="67"/>
      <c r="O3295" s="67"/>
      <c r="P3295" s="67"/>
      <c r="Q3295" s="67"/>
      <c r="R3295" s="67"/>
      <c r="S3295" s="67"/>
      <c r="T3295" s="67"/>
      <c r="U3295" s="67"/>
      <c r="V3295" s="67"/>
      <c r="W3295" s="67"/>
      <c r="X3295" s="67"/>
      <c r="Y3295" s="67"/>
      <c r="Z3295" s="67"/>
      <c r="AA3295" s="67"/>
      <c r="AB3295" s="67"/>
      <c r="AC3295" s="67"/>
      <c r="AD3295" s="67"/>
    </row>
    <row r="3296" spans="1:30" s="66" customFormat="1" ht="20.25" customHeight="1">
      <c r="A3296" s="294"/>
      <c r="B3296" s="302" t="s">
        <v>230</v>
      </c>
      <c r="C3296" s="294">
        <v>-10</v>
      </c>
      <c r="D3296" s="294">
        <v>5</v>
      </c>
      <c r="E3296" s="294">
        <v>4</v>
      </c>
      <c r="F3296" s="300">
        <v>0.75</v>
      </c>
      <c r="G3296" s="295"/>
      <c r="H3296" s="295">
        <v>0.75</v>
      </c>
      <c r="I3296" s="298">
        <f t="shared" si="150"/>
        <v>-112.5</v>
      </c>
      <c r="J3296" s="303"/>
      <c r="K3296" s="67"/>
      <c r="L3296" s="67"/>
      <c r="M3296" s="67"/>
      <c r="N3296" s="67"/>
      <c r="O3296" s="67"/>
      <c r="P3296" s="67"/>
      <c r="Q3296" s="67"/>
      <c r="R3296" s="67"/>
      <c r="S3296" s="67"/>
      <c r="T3296" s="67"/>
      <c r="U3296" s="67"/>
      <c r="V3296" s="67"/>
      <c r="W3296" s="67"/>
      <c r="X3296" s="67"/>
      <c r="Y3296" s="67"/>
      <c r="Z3296" s="67"/>
      <c r="AA3296" s="67"/>
      <c r="AB3296" s="67"/>
      <c r="AC3296" s="67"/>
      <c r="AD3296" s="67"/>
    </row>
    <row r="3297" spans="1:30" s="66" customFormat="1" ht="20.25" customHeight="1">
      <c r="A3297" s="294"/>
      <c r="B3297" s="302" t="s">
        <v>229</v>
      </c>
      <c r="C3297" s="294">
        <v>-10</v>
      </c>
      <c r="D3297" s="294">
        <v>5</v>
      </c>
      <c r="E3297" s="294">
        <v>2</v>
      </c>
      <c r="F3297" s="300">
        <v>1.6</v>
      </c>
      <c r="G3297" s="295"/>
      <c r="H3297" s="295">
        <v>1.5</v>
      </c>
      <c r="I3297" s="298">
        <f t="shared" si="150"/>
        <v>-240</v>
      </c>
      <c r="J3297" s="303"/>
      <c r="K3297" s="67"/>
      <c r="L3297" s="67"/>
      <c r="M3297" s="67"/>
      <c r="N3297" s="67"/>
      <c r="O3297" s="67"/>
      <c r="P3297" s="67"/>
      <c r="Q3297" s="67"/>
      <c r="R3297" s="67"/>
      <c r="S3297" s="67"/>
      <c r="T3297" s="67"/>
      <c r="U3297" s="67"/>
      <c r="V3297" s="67"/>
      <c r="W3297" s="67"/>
      <c r="X3297" s="67"/>
      <c r="Y3297" s="67"/>
      <c r="Z3297" s="67"/>
      <c r="AA3297" s="67"/>
      <c r="AB3297" s="67"/>
      <c r="AC3297" s="67"/>
      <c r="AD3297" s="67"/>
    </row>
    <row r="3298" spans="1:30" s="71" customFormat="1" ht="20.25" customHeight="1">
      <c r="A3298" s="294"/>
      <c r="B3298" s="302" t="s">
        <v>613</v>
      </c>
      <c r="C3298" s="294">
        <v>1</v>
      </c>
      <c r="D3298" s="294">
        <v>1</v>
      </c>
      <c r="E3298" s="294">
        <v>5</v>
      </c>
      <c r="F3298" s="295">
        <v>1.96</v>
      </c>
      <c r="G3298" s="295">
        <v>0.6</v>
      </c>
      <c r="H3298" s="295"/>
      <c r="I3298" s="298">
        <f t="shared" si="150"/>
        <v>5.88</v>
      </c>
      <c r="J3298" s="303"/>
      <c r="K3298" s="72"/>
      <c r="L3298" s="72"/>
      <c r="M3298" s="72"/>
      <c r="N3298" s="72">
        <f>1.5+0.46</f>
        <v>1.96</v>
      </c>
      <c r="O3298" s="72"/>
      <c r="P3298" s="72"/>
      <c r="Q3298" s="72"/>
      <c r="R3298" s="72"/>
      <c r="S3298" s="72"/>
      <c r="T3298" s="72"/>
      <c r="U3298" s="72"/>
      <c r="V3298" s="72"/>
      <c r="W3298" s="72"/>
      <c r="X3298" s="72"/>
      <c r="Y3298" s="72"/>
      <c r="Z3298" s="72"/>
      <c r="AA3298" s="72"/>
      <c r="AB3298" s="72"/>
      <c r="AC3298" s="72"/>
      <c r="AD3298" s="72"/>
    </row>
    <row r="3299" spans="1:30" s="71" customFormat="1" ht="20.25" customHeight="1">
      <c r="A3299" s="294"/>
      <c r="B3299" s="302" t="s">
        <v>612</v>
      </c>
      <c r="C3299" s="294">
        <v>1</v>
      </c>
      <c r="D3299" s="294">
        <v>2</v>
      </c>
      <c r="E3299" s="294">
        <v>5</v>
      </c>
      <c r="F3299" s="295">
        <v>0.6</v>
      </c>
      <c r="G3299" s="294"/>
      <c r="H3299" s="300">
        <v>6.5000000000000002E-2</v>
      </c>
      <c r="I3299" s="298">
        <f t="shared" si="150"/>
        <v>0.39</v>
      </c>
      <c r="J3299" s="303"/>
      <c r="K3299" s="72"/>
      <c r="L3299" s="72"/>
      <c r="M3299" s="72"/>
      <c r="N3299" s="72"/>
      <c r="O3299" s="72"/>
      <c r="P3299" s="72"/>
      <c r="Q3299" s="72"/>
      <c r="R3299" s="72"/>
      <c r="S3299" s="72"/>
      <c r="T3299" s="72"/>
      <c r="U3299" s="72"/>
      <c r="V3299" s="72"/>
      <c r="W3299" s="72"/>
      <c r="X3299" s="72"/>
      <c r="Y3299" s="72"/>
      <c r="Z3299" s="72"/>
      <c r="AA3299" s="72"/>
      <c r="AB3299" s="72"/>
      <c r="AC3299" s="72"/>
      <c r="AD3299" s="72"/>
    </row>
    <row r="3300" spans="1:30" s="71" customFormat="1" ht="20.25" customHeight="1">
      <c r="A3300" s="294"/>
      <c r="B3300" s="302" t="s">
        <v>979</v>
      </c>
      <c r="C3300" s="294">
        <v>10</v>
      </c>
      <c r="D3300" s="294">
        <v>1</v>
      </c>
      <c r="E3300" s="294">
        <v>12</v>
      </c>
      <c r="F3300" s="295">
        <v>2.2599999999999998</v>
      </c>
      <c r="G3300" s="295">
        <v>0.6</v>
      </c>
      <c r="H3300" s="295"/>
      <c r="I3300" s="298">
        <f t="shared" si="150"/>
        <v>162.72</v>
      </c>
      <c r="J3300" s="303"/>
      <c r="K3300" s="72"/>
      <c r="L3300" s="72"/>
      <c r="M3300" s="72"/>
      <c r="N3300" s="72">
        <f>1.8+0.46</f>
        <v>2.2599999999999998</v>
      </c>
      <c r="O3300" s="72"/>
      <c r="P3300" s="72"/>
      <c r="Q3300" s="72"/>
      <c r="R3300" s="72"/>
      <c r="S3300" s="72"/>
      <c r="T3300" s="72"/>
      <c r="U3300" s="72"/>
      <c r="V3300" s="72"/>
      <c r="W3300" s="72"/>
      <c r="X3300" s="72"/>
      <c r="Y3300" s="72"/>
      <c r="Z3300" s="72"/>
      <c r="AA3300" s="72"/>
      <c r="AB3300" s="72"/>
      <c r="AC3300" s="72"/>
      <c r="AD3300" s="72"/>
    </row>
    <row r="3301" spans="1:30" s="71" customFormat="1" ht="20.25" customHeight="1">
      <c r="A3301" s="294"/>
      <c r="B3301" s="302" t="s">
        <v>980</v>
      </c>
      <c r="C3301" s="294">
        <v>10</v>
      </c>
      <c r="D3301" s="294">
        <v>2</v>
      </c>
      <c r="E3301" s="294">
        <v>12</v>
      </c>
      <c r="F3301" s="295">
        <v>0.6</v>
      </c>
      <c r="G3301" s="294"/>
      <c r="H3301" s="300">
        <v>6.5000000000000002E-2</v>
      </c>
      <c r="I3301" s="298">
        <f t="shared" si="150"/>
        <v>9.36</v>
      </c>
      <c r="J3301" s="303"/>
      <c r="K3301" s="72"/>
      <c r="L3301" s="72"/>
      <c r="M3301" s="72"/>
      <c r="N3301" s="72"/>
      <c r="O3301" s="72"/>
      <c r="P3301" s="72"/>
      <c r="Q3301" s="72"/>
      <c r="R3301" s="72"/>
      <c r="S3301" s="72"/>
      <c r="T3301" s="72"/>
      <c r="U3301" s="72"/>
      <c r="V3301" s="72"/>
      <c r="W3301" s="72"/>
      <c r="X3301" s="72"/>
      <c r="Y3301" s="72"/>
      <c r="Z3301" s="72"/>
      <c r="AA3301" s="72"/>
      <c r="AB3301" s="72"/>
      <c r="AC3301" s="72"/>
      <c r="AD3301" s="72"/>
    </row>
    <row r="3302" spans="1:30" s="66" customFormat="1" ht="19.5" customHeight="1">
      <c r="A3302" s="294"/>
      <c r="B3302" s="302" t="s">
        <v>981</v>
      </c>
      <c r="C3302" s="294">
        <v>10</v>
      </c>
      <c r="D3302" s="294">
        <v>1</v>
      </c>
      <c r="E3302" s="294">
        <v>4</v>
      </c>
      <c r="F3302" s="295">
        <v>1.96</v>
      </c>
      <c r="G3302" s="295">
        <v>0.6</v>
      </c>
      <c r="H3302" s="295"/>
      <c r="I3302" s="298">
        <f t="shared" si="150"/>
        <v>47.04</v>
      </c>
      <c r="J3302" s="303"/>
      <c r="K3302" s="67"/>
      <c r="L3302" s="67"/>
      <c r="M3302" s="67"/>
      <c r="N3302" s="67"/>
      <c r="O3302" s="67"/>
      <c r="P3302" s="67"/>
      <c r="Q3302" s="67"/>
      <c r="R3302" s="67"/>
      <c r="S3302" s="67"/>
      <c r="T3302" s="67"/>
      <c r="U3302" s="67"/>
      <c r="V3302" s="67"/>
      <c r="W3302" s="67"/>
      <c r="X3302" s="67"/>
      <c r="Y3302" s="67"/>
      <c r="Z3302" s="67"/>
      <c r="AA3302" s="67"/>
      <c r="AB3302" s="67"/>
      <c r="AC3302" s="67"/>
      <c r="AD3302" s="67"/>
    </row>
    <row r="3303" spans="1:30" s="66" customFormat="1" ht="19.5" customHeight="1">
      <c r="A3303" s="294"/>
      <c r="B3303" s="302" t="s">
        <v>982</v>
      </c>
      <c r="C3303" s="294">
        <v>10</v>
      </c>
      <c r="D3303" s="294">
        <v>2</v>
      </c>
      <c r="E3303" s="294">
        <v>4</v>
      </c>
      <c r="F3303" s="295">
        <v>0.6</v>
      </c>
      <c r="G3303" s="294"/>
      <c r="H3303" s="300">
        <v>6.5000000000000002E-2</v>
      </c>
      <c r="I3303" s="298">
        <f t="shared" si="150"/>
        <v>3.12</v>
      </c>
      <c r="J3303" s="477"/>
      <c r="K3303" s="70"/>
      <c r="L3303" s="70"/>
      <c r="M3303" s="70"/>
      <c r="N3303" s="67"/>
      <c r="O3303" s="67"/>
      <c r="P3303" s="67"/>
      <c r="Q3303" s="67"/>
      <c r="R3303" s="67"/>
      <c r="S3303" s="67"/>
      <c r="T3303" s="67"/>
      <c r="U3303" s="67"/>
      <c r="V3303" s="67"/>
      <c r="W3303" s="67"/>
      <c r="X3303" s="67"/>
      <c r="Y3303" s="67"/>
      <c r="Z3303" s="67"/>
      <c r="AA3303" s="67"/>
      <c r="AB3303" s="67"/>
      <c r="AC3303" s="67"/>
      <c r="AD3303" s="67"/>
    </row>
    <row r="3304" spans="1:30" s="66" customFormat="1" ht="19.5" customHeight="1">
      <c r="A3304" s="294"/>
      <c r="B3304" s="302" t="s">
        <v>983</v>
      </c>
      <c r="C3304" s="294">
        <v>10</v>
      </c>
      <c r="D3304" s="294">
        <v>1</v>
      </c>
      <c r="E3304" s="294">
        <v>3</v>
      </c>
      <c r="F3304" s="295">
        <v>2.2599999999999998</v>
      </c>
      <c r="G3304" s="295">
        <v>0.6</v>
      </c>
      <c r="H3304" s="295"/>
      <c r="I3304" s="298">
        <f t="shared" si="150"/>
        <v>40.68</v>
      </c>
      <c r="J3304" s="303"/>
      <c r="K3304" s="67"/>
      <c r="L3304" s="67"/>
      <c r="M3304" s="67"/>
      <c r="N3304" s="67"/>
      <c r="O3304" s="67"/>
      <c r="P3304" s="67"/>
      <c r="Q3304" s="67"/>
      <c r="R3304" s="67"/>
      <c r="S3304" s="67"/>
      <c r="T3304" s="67"/>
      <c r="U3304" s="67"/>
      <c r="V3304" s="67"/>
      <c r="W3304" s="67"/>
      <c r="X3304" s="67"/>
      <c r="Y3304" s="67"/>
      <c r="Z3304" s="67"/>
      <c r="AA3304" s="67"/>
      <c r="AB3304" s="67"/>
      <c r="AC3304" s="67"/>
      <c r="AD3304" s="67"/>
    </row>
    <row r="3305" spans="1:30" s="66" customFormat="1" ht="28.5" customHeight="1">
      <c r="A3305" s="294"/>
      <c r="B3305" s="302" t="s">
        <v>984</v>
      </c>
      <c r="C3305" s="294">
        <v>10</v>
      </c>
      <c r="D3305" s="294">
        <v>2</v>
      </c>
      <c r="E3305" s="294">
        <v>3</v>
      </c>
      <c r="F3305" s="295">
        <v>0.6</v>
      </c>
      <c r="G3305" s="294"/>
      <c r="H3305" s="300">
        <v>6.5000000000000002E-2</v>
      </c>
      <c r="I3305" s="298">
        <f t="shared" si="150"/>
        <v>2.34</v>
      </c>
      <c r="J3305" s="303"/>
      <c r="K3305" s="67"/>
      <c r="L3305" s="67"/>
      <c r="M3305" s="67"/>
      <c r="N3305" s="67"/>
      <c r="O3305" s="67"/>
      <c r="P3305" s="67"/>
      <c r="Q3305" s="67"/>
      <c r="R3305" s="67"/>
      <c r="S3305" s="67"/>
      <c r="T3305" s="67"/>
      <c r="U3305" s="67"/>
      <c r="V3305" s="67"/>
      <c r="W3305" s="67"/>
      <c r="X3305" s="67"/>
      <c r="Y3305" s="67"/>
      <c r="Z3305" s="67"/>
      <c r="AA3305" s="67"/>
      <c r="AB3305" s="67"/>
      <c r="AC3305" s="67"/>
      <c r="AD3305" s="67"/>
    </row>
    <row r="3306" spans="1:30" s="68" customFormat="1" ht="19.5" customHeight="1">
      <c r="A3306" s="467"/>
      <c r="B3306" s="302" t="s">
        <v>985</v>
      </c>
      <c r="C3306" s="294">
        <v>10</v>
      </c>
      <c r="D3306" s="294">
        <v>1</v>
      </c>
      <c r="E3306" s="294">
        <v>2</v>
      </c>
      <c r="F3306" s="295">
        <v>1.66</v>
      </c>
      <c r="G3306" s="295">
        <v>0.6</v>
      </c>
      <c r="H3306" s="295"/>
      <c r="I3306" s="298">
        <f t="shared" si="150"/>
        <v>19.920000000000002</v>
      </c>
      <c r="J3306" s="470"/>
      <c r="K3306" s="69"/>
      <c r="L3306" s="69"/>
      <c r="M3306" s="69"/>
      <c r="N3306" s="69">
        <f>1.2+0.46</f>
        <v>1.66</v>
      </c>
      <c r="O3306" s="69"/>
      <c r="P3306" s="69"/>
      <c r="Q3306" s="69"/>
      <c r="R3306" s="69"/>
      <c r="S3306" s="69"/>
      <c r="T3306" s="69"/>
      <c r="U3306" s="69"/>
      <c r="V3306" s="69"/>
      <c r="W3306" s="69"/>
      <c r="X3306" s="69"/>
      <c r="Y3306" s="69"/>
      <c r="Z3306" s="69"/>
      <c r="AA3306" s="69"/>
      <c r="AB3306" s="69"/>
      <c r="AC3306" s="69"/>
      <c r="AD3306" s="69"/>
    </row>
    <row r="3307" spans="1:30" s="68" customFormat="1" ht="19.5" customHeight="1">
      <c r="A3307" s="467"/>
      <c r="B3307" s="302" t="s">
        <v>986</v>
      </c>
      <c r="C3307" s="294">
        <v>10</v>
      </c>
      <c r="D3307" s="294">
        <v>2</v>
      </c>
      <c r="E3307" s="294">
        <v>2</v>
      </c>
      <c r="F3307" s="295">
        <v>0.6</v>
      </c>
      <c r="G3307" s="294"/>
      <c r="H3307" s="300">
        <v>6.5000000000000002E-2</v>
      </c>
      <c r="I3307" s="298">
        <f t="shared" si="150"/>
        <v>1.56</v>
      </c>
      <c r="J3307" s="470"/>
      <c r="K3307" s="69"/>
      <c r="L3307" s="69"/>
      <c r="M3307" s="69"/>
      <c r="N3307" s="69"/>
      <c r="O3307" s="69"/>
      <c r="P3307" s="69"/>
      <c r="Q3307" s="69"/>
      <c r="R3307" s="69"/>
      <c r="S3307" s="69"/>
      <c r="T3307" s="69"/>
      <c r="U3307" s="69"/>
      <c r="V3307" s="69"/>
      <c r="W3307" s="69"/>
      <c r="X3307" s="69"/>
      <c r="Y3307" s="69"/>
      <c r="Z3307" s="69"/>
      <c r="AA3307" s="69"/>
      <c r="AB3307" s="69"/>
      <c r="AC3307" s="69"/>
      <c r="AD3307" s="69"/>
    </row>
    <row r="3308" spans="1:30" s="64" customFormat="1" ht="21.75" customHeight="1">
      <c r="A3308" s="307"/>
      <c r="B3308" s="293" t="s">
        <v>603</v>
      </c>
      <c r="C3308" s="307">
        <v>1</v>
      </c>
      <c r="D3308" s="307">
        <v>1</v>
      </c>
      <c r="E3308" s="307">
        <v>3</v>
      </c>
      <c r="F3308" s="307">
        <v>19.02</v>
      </c>
      <c r="G3308" s="307"/>
      <c r="H3308" s="307">
        <v>1.35</v>
      </c>
      <c r="I3308" s="298">
        <f t="shared" si="150"/>
        <v>77.03</v>
      </c>
      <c r="J3308" s="322"/>
      <c r="K3308" s="65"/>
      <c r="L3308" s="65"/>
      <c r="M3308" s="65"/>
      <c r="N3308" s="65">
        <f>5.55+2.85+5.55+2.372+0.936+1.763</f>
        <v>19.021000000000001</v>
      </c>
      <c r="O3308" s="65">
        <f>2.85-0.125</f>
        <v>2.7250000000000001</v>
      </c>
      <c r="P3308" s="65">
        <f>2.85-1.5</f>
        <v>1.35</v>
      </c>
      <c r="Q3308" s="65"/>
      <c r="R3308" s="65"/>
      <c r="S3308" s="65"/>
      <c r="T3308" s="65"/>
      <c r="U3308" s="65"/>
      <c r="V3308" s="65"/>
      <c r="W3308" s="65"/>
      <c r="X3308" s="65"/>
      <c r="Y3308" s="65"/>
      <c r="Z3308" s="65"/>
      <c r="AA3308" s="65"/>
      <c r="AB3308" s="65"/>
      <c r="AC3308" s="65"/>
      <c r="AD3308" s="65"/>
    </row>
    <row r="3309" spans="1:30" s="64" customFormat="1" ht="21.75" customHeight="1">
      <c r="A3309" s="307"/>
      <c r="B3309" s="293" t="s">
        <v>602</v>
      </c>
      <c r="C3309" s="307">
        <v>1</v>
      </c>
      <c r="D3309" s="307">
        <v>2</v>
      </c>
      <c r="E3309" s="307">
        <v>10</v>
      </c>
      <c r="F3309" s="308">
        <v>21.32</v>
      </c>
      <c r="G3309" s="308"/>
      <c r="H3309" s="308">
        <v>1.35</v>
      </c>
      <c r="I3309" s="323">
        <f t="shared" si="150"/>
        <v>575.64</v>
      </c>
      <c r="J3309" s="322"/>
      <c r="K3309" s="65"/>
      <c r="L3309" s="65"/>
      <c r="M3309" s="65"/>
      <c r="N3309" s="75">
        <f>8.895+0.46</f>
        <v>9.3550000000000004</v>
      </c>
      <c r="O3309" s="75">
        <f>N3309-1</f>
        <v>8.3550000000000004</v>
      </c>
      <c r="P3309" s="65"/>
      <c r="Q3309" s="65"/>
      <c r="R3309" s="65"/>
      <c r="S3309" s="65"/>
      <c r="T3309" s="65"/>
      <c r="U3309" s="65"/>
      <c r="V3309" s="65"/>
      <c r="W3309" s="65"/>
      <c r="X3309" s="65"/>
      <c r="Y3309" s="65"/>
      <c r="Z3309" s="65"/>
      <c r="AA3309" s="65"/>
      <c r="AB3309" s="65"/>
      <c r="AC3309" s="65"/>
      <c r="AD3309" s="65"/>
    </row>
    <row r="3310" spans="1:30" s="64" customFormat="1" ht="35.25" customHeight="1">
      <c r="A3310" s="307"/>
      <c r="B3310" s="293" t="s">
        <v>601</v>
      </c>
      <c r="C3310" s="307">
        <v>1</v>
      </c>
      <c r="D3310" s="307">
        <v>1</v>
      </c>
      <c r="E3310" s="307">
        <v>10</v>
      </c>
      <c r="F3310" s="308">
        <v>30.54</v>
      </c>
      <c r="G3310" s="308">
        <v>0.5</v>
      </c>
      <c r="H3310" s="308"/>
      <c r="I3310" s="323">
        <f t="shared" si="150"/>
        <v>152.69999999999999</v>
      </c>
      <c r="J3310" s="322"/>
      <c r="K3310" s="65"/>
      <c r="L3310" s="65"/>
      <c r="M3310" s="65"/>
      <c r="N3310" s="65">
        <f>5.465+0.46</f>
        <v>5.9249999999999998</v>
      </c>
      <c r="O3310" s="75">
        <f>N3310-1</f>
        <v>4.9249999999999998</v>
      </c>
      <c r="P3310" s="65"/>
      <c r="Q3310" s="75"/>
      <c r="R3310" s="65"/>
      <c r="S3310" s="65">
        <f>9.34+5.93+9.34+5.93</f>
        <v>30.54</v>
      </c>
      <c r="T3310" s="65"/>
      <c r="U3310" s="65"/>
      <c r="V3310" s="65"/>
      <c r="W3310" s="65"/>
      <c r="X3310" s="65"/>
      <c r="Y3310" s="65"/>
      <c r="Z3310" s="65"/>
      <c r="AA3310" s="65"/>
      <c r="AB3310" s="65"/>
      <c r="AC3310" s="65"/>
      <c r="AD3310" s="65"/>
    </row>
    <row r="3311" spans="1:30" s="64" customFormat="1" ht="31.5" customHeight="1">
      <c r="A3311" s="307"/>
      <c r="B3311" s="293" t="s">
        <v>600</v>
      </c>
      <c r="C3311" s="307">
        <v>1</v>
      </c>
      <c r="D3311" s="307">
        <v>1</v>
      </c>
      <c r="E3311" s="307">
        <v>10</v>
      </c>
      <c r="F3311" s="308">
        <v>5.93</v>
      </c>
      <c r="G3311" s="308">
        <v>0.5</v>
      </c>
      <c r="H3311" s="308"/>
      <c r="I3311" s="323">
        <f t="shared" si="150"/>
        <v>29.65</v>
      </c>
      <c r="J3311" s="322"/>
      <c r="K3311" s="65"/>
      <c r="L3311" s="65"/>
      <c r="M3311" s="65"/>
      <c r="N3311" s="65"/>
      <c r="O3311" s="65"/>
      <c r="P3311" s="65"/>
      <c r="Q3311" s="65"/>
      <c r="R3311" s="65"/>
      <c r="S3311" s="65"/>
      <c r="T3311" s="65"/>
      <c r="U3311" s="65"/>
      <c r="V3311" s="65"/>
      <c r="W3311" s="65"/>
      <c r="X3311" s="65"/>
      <c r="Y3311" s="65"/>
      <c r="Z3311" s="65"/>
      <c r="AA3311" s="65"/>
      <c r="AB3311" s="65"/>
      <c r="AC3311" s="65"/>
      <c r="AD3311" s="65"/>
    </row>
    <row r="3312" spans="1:30" s="64" customFormat="1" ht="37.5" customHeight="1">
      <c r="A3312" s="321"/>
      <c r="B3312" s="293" t="s">
        <v>599</v>
      </c>
      <c r="C3312" s="307">
        <v>1</v>
      </c>
      <c r="D3312" s="307">
        <v>1</v>
      </c>
      <c r="E3312" s="307">
        <v>10</v>
      </c>
      <c r="F3312" s="307">
        <v>19.02</v>
      </c>
      <c r="G3312" s="307"/>
      <c r="H3312" s="307">
        <v>0.45</v>
      </c>
      <c r="I3312" s="323">
        <f t="shared" si="150"/>
        <v>85.59</v>
      </c>
      <c r="J3312" s="322"/>
      <c r="K3312" s="65"/>
      <c r="L3312" s="65"/>
      <c r="M3312" s="65"/>
      <c r="N3312" s="65"/>
      <c r="O3312" s="65"/>
      <c r="P3312" s="65"/>
      <c r="Q3312" s="65"/>
      <c r="R3312" s="65"/>
      <c r="S3312" s="65"/>
      <c r="T3312" s="65"/>
      <c r="U3312" s="65"/>
      <c r="V3312" s="65"/>
      <c r="W3312" s="65"/>
      <c r="X3312" s="65"/>
      <c r="Y3312" s="65"/>
      <c r="Z3312" s="65"/>
      <c r="AA3312" s="65"/>
      <c r="AB3312" s="65"/>
      <c r="AC3312" s="65"/>
      <c r="AD3312" s="65"/>
    </row>
    <row r="3313" spans="1:30" s="64" customFormat="1" ht="31.5" customHeight="1">
      <c r="A3313" s="321"/>
      <c r="B3313" s="293" t="s">
        <v>598</v>
      </c>
      <c r="C3313" s="307">
        <v>1</v>
      </c>
      <c r="D3313" s="307">
        <v>1</v>
      </c>
      <c r="E3313" s="307">
        <v>3</v>
      </c>
      <c r="F3313" s="308">
        <v>21</v>
      </c>
      <c r="G3313" s="307"/>
      <c r="H3313" s="307">
        <v>0.68</v>
      </c>
      <c r="I3313" s="323">
        <f t="shared" si="150"/>
        <v>42.84</v>
      </c>
      <c r="J3313" s="322"/>
      <c r="K3313" s="65"/>
      <c r="L3313" s="65"/>
      <c r="M3313" s="65"/>
      <c r="N3313" s="65"/>
      <c r="O3313" s="65"/>
      <c r="P3313" s="65"/>
      <c r="Q3313" s="65"/>
      <c r="R3313" s="65"/>
      <c r="S3313" s="65"/>
      <c r="T3313" s="65"/>
      <c r="U3313" s="65"/>
      <c r="V3313" s="65"/>
      <c r="W3313" s="65"/>
      <c r="X3313" s="65"/>
      <c r="Y3313" s="65"/>
      <c r="Z3313" s="65"/>
      <c r="AA3313" s="65"/>
      <c r="AB3313" s="65"/>
      <c r="AC3313" s="65"/>
      <c r="AD3313" s="65"/>
    </row>
    <row r="3314" spans="1:30" s="64" customFormat="1" ht="30" customHeight="1">
      <c r="A3314" s="307"/>
      <c r="B3314" s="293" t="s">
        <v>597</v>
      </c>
      <c r="C3314" s="307">
        <v>1</v>
      </c>
      <c r="D3314" s="307">
        <v>1</v>
      </c>
      <c r="E3314" s="307">
        <v>2</v>
      </c>
      <c r="F3314" s="308">
        <v>9</v>
      </c>
      <c r="G3314" s="307"/>
      <c r="H3314" s="307">
        <v>0.45</v>
      </c>
      <c r="I3314" s="323">
        <f t="shared" si="150"/>
        <v>8.1</v>
      </c>
      <c r="J3314" s="322"/>
      <c r="K3314" s="65"/>
      <c r="L3314" s="65"/>
      <c r="M3314" s="65"/>
      <c r="N3314" s="65">
        <v>3.06</v>
      </c>
      <c r="O3314" s="65">
        <f>1.9+0.46</f>
        <v>2.36</v>
      </c>
      <c r="P3314" s="65">
        <f>N3314+O3314</f>
        <v>5.42</v>
      </c>
      <c r="Q3314" s="65">
        <f>P3314*2</f>
        <v>10.84</v>
      </c>
      <c r="R3314" s="65"/>
      <c r="S3314" s="65"/>
      <c r="T3314" s="65"/>
      <c r="U3314" s="65"/>
      <c r="V3314" s="65"/>
      <c r="W3314" s="65"/>
      <c r="X3314" s="65"/>
      <c r="Y3314" s="65"/>
      <c r="Z3314" s="65"/>
      <c r="AA3314" s="65"/>
      <c r="AB3314" s="65"/>
      <c r="AC3314" s="65"/>
      <c r="AD3314" s="65"/>
    </row>
    <row r="3315" spans="1:30" s="64" customFormat="1" ht="21.75" customHeight="1">
      <c r="A3315" s="307"/>
      <c r="B3315" s="293" t="s">
        <v>596</v>
      </c>
      <c r="C3315" s="307">
        <v>1</v>
      </c>
      <c r="D3315" s="307">
        <v>1</v>
      </c>
      <c r="E3315" s="307">
        <v>2</v>
      </c>
      <c r="F3315" s="307">
        <v>10.84</v>
      </c>
      <c r="G3315" s="307"/>
      <c r="H3315" s="307">
        <v>0.68</v>
      </c>
      <c r="I3315" s="323">
        <f t="shared" si="150"/>
        <v>14.74</v>
      </c>
      <c r="J3315" s="322"/>
      <c r="K3315" s="65"/>
      <c r="L3315" s="65"/>
      <c r="M3315" s="65"/>
      <c r="N3315" s="65">
        <v>2.6</v>
      </c>
      <c r="O3315" s="65">
        <v>1.9</v>
      </c>
      <c r="P3315" s="65">
        <f>N3315+O3315</f>
        <v>4.5</v>
      </c>
      <c r="Q3315" s="75">
        <f>P3315*2</f>
        <v>9</v>
      </c>
      <c r="R3315" s="65"/>
      <c r="S3315" s="65"/>
      <c r="T3315" s="65"/>
      <c r="U3315" s="65"/>
      <c r="V3315" s="65"/>
      <c r="W3315" s="65"/>
      <c r="X3315" s="65"/>
      <c r="Y3315" s="65"/>
      <c r="Z3315" s="65"/>
      <c r="AA3315" s="65"/>
      <c r="AB3315" s="65"/>
      <c r="AC3315" s="65"/>
      <c r="AD3315" s="65"/>
    </row>
    <row r="3316" spans="1:30" s="64" customFormat="1" ht="25.5" customHeight="1">
      <c r="A3316" s="307"/>
      <c r="B3316" s="293" t="s">
        <v>595</v>
      </c>
      <c r="C3316" s="307">
        <v>1</v>
      </c>
      <c r="D3316" s="307">
        <v>1</v>
      </c>
      <c r="E3316" s="307">
        <v>1</v>
      </c>
      <c r="F3316" s="308">
        <v>10.6</v>
      </c>
      <c r="G3316" s="307"/>
      <c r="H3316" s="307">
        <v>0.45</v>
      </c>
      <c r="I3316" s="323">
        <f t="shared" si="150"/>
        <v>4.7699999999999996</v>
      </c>
      <c r="J3316" s="322"/>
      <c r="K3316" s="65"/>
      <c r="L3316" s="65"/>
      <c r="M3316" s="65"/>
      <c r="N3316" s="65">
        <f>2.3+3+2.3+3</f>
        <v>10.6</v>
      </c>
      <c r="O3316" s="65"/>
      <c r="P3316" s="65"/>
      <c r="Q3316" s="65"/>
      <c r="R3316" s="65"/>
      <c r="S3316" s="65"/>
      <c r="T3316" s="65"/>
      <c r="U3316" s="65"/>
      <c r="V3316" s="65"/>
      <c r="W3316" s="65"/>
      <c r="X3316" s="65"/>
      <c r="Y3316" s="65"/>
      <c r="Z3316" s="65"/>
      <c r="AA3316" s="65"/>
      <c r="AB3316" s="65"/>
      <c r="AC3316" s="65"/>
      <c r="AD3316" s="65"/>
    </row>
    <row r="3317" spans="1:30" s="64" customFormat="1" ht="21.75" customHeight="1">
      <c r="A3317" s="307"/>
      <c r="B3317" s="293" t="s">
        <v>594</v>
      </c>
      <c r="C3317" s="307">
        <v>1</v>
      </c>
      <c r="D3317" s="307">
        <v>1</v>
      </c>
      <c r="E3317" s="307">
        <v>1</v>
      </c>
      <c r="F3317" s="307">
        <v>12.44</v>
      </c>
      <c r="G3317" s="307"/>
      <c r="H3317" s="307">
        <v>0.68</v>
      </c>
      <c r="I3317" s="323">
        <f t="shared" si="150"/>
        <v>8.4600000000000009</v>
      </c>
      <c r="J3317" s="322"/>
      <c r="K3317" s="65"/>
      <c r="L3317" s="65"/>
      <c r="M3317" s="65"/>
      <c r="N3317" s="65">
        <f>2.3+0.46</f>
        <v>2.76</v>
      </c>
      <c r="O3317" s="65">
        <f>3+0.46</f>
        <v>3.46</v>
      </c>
      <c r="P3317" s="65">
        <f>N3317+O3317</f>
        <v>6.22</v>
      </c>
      <c r="Q3317" s="65">
        <f>P3317*2</f>
        <v>12.44</v>
      </c>
      <c r="R3317" s="65"/>
      <c r="S3317" s="65"/>
      <c r="T3317" s="65"/>
      <c r="U3317" s="65"/>
      <c r="V3317" s="65"/>
      <c r="W3317" s="65"/>
      <c r="X3317" s="65"/>
      <c r="Y3317" s="65"/>
      <c r="Z3317" s="65"/>
      <c r="AA3317" s="65"/>
      <c r="AB3317" s="65"/>
      <c r="AC3317" s="65"/>
      <c r="AD3317" s="65"/>
    </row>
    <row r="3318" spans="1:30" s="64" customFormat="1" ht="21.75" customHeight="1">
      <c r="A3318" s="307"/>
      <c r="B3318" s="293" t="s">
        <v>593</v>
      </c>
      <c r="C3318" s="307">
        <v>1</v>
      </c>
      <c r="D3318" s="307">
        <v>1</v>
      </c>
      <c r="E3318" s="307">
        <v>1</v>
      </c>
      <c r="F3318" s="317">
        <v>213.64599999999999</v>
      </c>
      <c r="G3318" s="307"/>
      <c r="H3318" s="307">
        <v>1.73</v>
      </c>
      <c r="I3318" s="323">
        <f t="shared" si="150"/>
        <v>369.61</v>
      </c>
      <c r="J3318" s="322"/>
      <c r="K3318" s="65"/>
      <c r="L3318" s="65"/>
      <c r="M3318" s="65"/>
      <c r="N3318" s="83">
        <f>13.405+1.43+1.215+7.695+3.645+3.31+5.639+1.3+0.835+6.53+1.215+1.43+12.19+1.215+1.43+6.53+0.859+1.26+5.639+3.31+3.645+7.695+1.215+1.43+13.405+1.43+1.215+7.695+3.645+3.31+5.639+1.26+0.859+6.53+1.215+1.43+12.19+1.43+1.215+6.53+0.859+2.038+5.089+2.76+3.645+7.695+1.43+1.215</f>
        <v>187.79599999999999</v>
      </c>
      <c r="O3318" s="65"/>
      <c r="P3318" s="65"/>
      <c r="Q3318" s="65"/>
      <c r="R3318" s="65"/>
      <c r="S3318" s="65"/>
      <c r="T3318" s="65"/>
      <c r="U3318" s="65"/>
      <c r="V3318" s="65"/>
      <c r="W3318" s="65"/>
      <c r="X3318" s="65"/>
      <c r="Y3318" s="65"/>
      <c r="Z3318" s="65"/>
      <c r="AA3318" s="65"/>
      <c r="AB3318" s="65"/>
      <c r="AC3318" s="65"/>
      <c r="AD3318" s="65"/>
    </row>
    <row r="3319" spans="1:30" s="64" customFormat="1" ht="19.5" customHeight="1">
      <c r="A3319" s="307"/>
      <c r="B3319" s="293" t="s">
        <v>592</v>
      </c>
      <c r="C3319" s="307">
        <v>1</v>
      </c>
      <c r="D3319" s="307">
        <v>1</v>
      </c>
      <c r="E3319" s="307">
        <v>8</v>
      </c>
      <c r="F3319" s="308">
        <v>11.84</v>
      </c>
      <c r="G3319" s="308"/>
      <c r="H3319" s="308">
        <v>1.73</v>
      </c>
      <c r="I3319" s="323">
        <f t="shared" si="150"/>
        <v>163.87</v>
      </c>
      <c r="J3319" s="322"/>
      <c r="K3319" s="65"/>
      <c r="L3319" s="65"/>
      <c r="M3319" s="65"/>
      <c r="N3319" s="65">
        <f>3.56+2.36+3.56+2.36</f>
        <v>11.84</v>
      </c>
      <c r="O3319" s="65"/>
      <c r="P3319" s="65"/>
      <c r="Q3319" s="65"/>
      <c r="R3319" s="65"/>
      <c r="S3319" s="65"/>
      <c r="T3319" s="65"/>
      <c r="U3319" s="65"/>
      <c r="V3319" s="65"/>
      <c r="W3319" s="65"/>
      <c r="X3319" s="65"/>
      <c r="Y3319" s="65"/>
      <c r="Z3319" s="65"/>
      <c r="AA3319" s="65"/>
      <c r="AB3319" s="65"/>
      <c r="AC3319" s="65"/>
      <c r="AD3319" s="65"/>
    </row>
    <row r="3320" spans="1:30" s="64" customFormat="1" ht="21.75" customHeight="1">
      <c r="A3320" s="307"/>
      <c r="B3320" s="293" t="s">
        <v>591</v>
      </c>
      <c r="C3320" s="307">
        <v>1</v>
      </c>
      <c r="D3320" s="307">
        <v>1</v>
      </c>
      <c r="E3320" s="307">
        <v>8</v>
      </c>
      <c r="F3320" s="308">
        <v>10</v>
      </c>
      <c r="G3320" s="308"/>
      <c r="H3320" s="308">
        <v>1.5</v>
      </c>
      <c r="I3320" s="323">
        <f t="shared" si="150"/>
        <v>120</v>
      </c>
      <c r="J3320" s="322"/>
      <c r="K3320" s="65"/>
      <c r="L3320" s="65"/>
      <c r="M3320" s="65"/>
      <c r="N3320" s="80">
        <f>1.9+3.1+1.9+3.1</f>
        <v>10</v>
      </c>
      <c r="O3320" s="65"/>
      <c r="P3320" s="65"/>
      <c r="Q3320" s="65"/>
      <c r="R3320" s="65"/>
      <c r="S3320" s="65"/>
      <c r="T3320" s="65"/>
      <c r="U3320" s="65"/>
      <c r="V3320" s="65"/>
      <c r="W3320" s="65"/>
      <c r="X3320" s="65"/>
      <c r="Y3320" s="65"/>
      <c r="Z3320" s="65"/>
      <c r="AA3320" s="65"/>
      <c r="AB3320" s="65"/>
      <c r="AC3320" s="65"/>
      <c r="AD3320" s="65"/>
    </row>
    <row r="3321" spans="1:30" s="64" customFormat="1" ht="21.75" customHeight="1">
      <c r="A3321" s="307"/>
      <c r="B3321" s="293" t="s">
        <v>591</v>
      </c>
      <c r="C3321" s="307">
        <v>1</v>
      </c>
      <c r="D3321" s="307">
        <v>1</v>
      </c>
      <c r="E3321" s="307">
        <v>2</v>
      </c>
      <c r="F3321" s="308">
        <v>9.2899999999999991</v>
      </c>
      <c r="G3321" s="308"/>
      <c r="H3321" s="308">
        <v>1.5</v>
      </c>
      <c r="I3321" s="323">
        <f t="shared" si="150"/>
        <v>27.87</v>
      </c>
      <c r="J3321" s="322"/>
      <c r="K3321" s="65"/>
      <c r="L3321" s="65"/>
      <c r="M3321" s="65"/>
      <c r="N3321" s="80">
        <f>3.1+1.9+1.727+0.679+1.879</f>
        <v>9.2899999999999991</v>
      </c>
      <c r="O3321" s="65"/>
      <c r="P3321" s="65"/>
      <c r="Q3321" s="65"/>
      <c r="R3321" s="65"/>
      <c r="S3321" s="65"/>
      <c r="T3321" s="65"/>
      <c r="U3321" s="65"/>
      <c r="V3321" s="65"/>
      <c r="W3321" s="65"/>
      <c r="X3321" s="65"/>
      <c r="Y3321" s="65"/>
      <c r="Z3321" s="65"/>
      <c r="AA3321" s="65"/>
      <c r="AB3321" s="65"/>
      <c r="AC3321" s="65"/>
      <c r="AD3321" s="65"/>
    </row>
    <row r="3322" spans="1:30" s="64" customFormat="1" ht="21.75" customHeight="1">
      <c r="A3322" s="307"/>
      <c r="B3322" s="293" t="s">
        <v>590</v>
      </c>
      <c r="C3322" s="307">
        <v>1</v>
      </c>
      <c r="D3322" s="307">
        <v>1</v>
      </c>
      <c r="E3322" s="307">
        <v>3</v>
      </c>
      <c r="F3322" s="308">
        <v>1.96</v>
      </c>
      <c r="G3322" s="308">
        <v>0.6</v>
      </c>
      <c r="H3322" s="307"/>
      <c r="I3322" s="323">
        <f t="shared" si="150"/>
        <v>3.53</v>
      </c>
      <c r="J3322" s="322"/>
      <c r="K3322" s="65"/>
      <c r="L3322" s="65"/>
      <c r="M3322" s="65"/>
      <c r="N3322" s="65">
        <f>1.5+0.46</f>
        <v>1.96</v>
      </c>
      <c r="O3322" s="65"/>
      <c r="P3322" s="65"/>
      <c r="Q3322" s="65"/>
      <c r="R3322" s="65"/>
      <c r="S3322" s="65"/>
      <c r="T3322" s="65"/>
      <c r="U3322" s="65"/>
      <c r="V3322" s="65"/>
      <c r="W3322" s="65"/>
      <c r="X3322" s="65"/>
      <c r="Y3322" s="65"/>
      <c r="Z3322" s="65"/>
      <c r="AA3322" s="65"/>
      <c r="AB3322" s="65"/>
      <c r="AC3322" s="65"/>
      <c r="AD3322" s="65"/>
    </row>
    <row r="3323" spans="1:30" s="64" customFormat="1" ht="21.75" customHeight="1">
      <c r="A3323" s="307"/>
      <c r="B3323" s="293" t="s">
        <v>210</v>
      </c>
      <c r="C3323" s="307">
        <v>1</v>
      </c>
      <c r="D3323" s="307">
        <v>1</v>
      </c>
      <c r="E3323" s="307">
        <v>3</v>
      </c>
      <c r="F3323" s="308">
        <v>3.16</v>
      </c>
      <c r="G3323" s="308"/>
      <c r="H3323" s="307">
        <v>6.5000000000000002E-2</v>
      </c>
      <c r="I3323" s="323">
        <f t="shared" si="150"/>
        <v>0.62</v>
      </c>
      <c r="J3323" s="322"/>
      <c r="K3323" s="65"/>
      <c r="L3323" s="65"/>
      <c r="M3323" s="65"/>
      <c r="N3323" s="65">
        <f>1.96+0.6+0.6</f>
        <v>3.16</v>
      </c>
      <c r="O3323" s="65">
        <f>0.065</f>
        <v>6.5000000000000002E-2</v>
      </c>
      <c r="P3323" s="65"/>
      <c r="Q3323" s="65"/>
      <c r="R3323" s="65"/>
      <c r="S3323" s="65"/>
      <c r="T3323" s="65"/>
      <c r="U3323" s="65"/>
      <c r="V3323" s="65"/>
      <c r="W3323" s="65"/>
      <c r="X3323" s="65"/>
      <c r="Y3323" s="65"/>
      <c r="Z3323" s="65"/>
      <c r="AA3323" s="65"/>
      <c r="AB3323" s="65"/>
      <c r="AC3323" s="65"/>
      <c r="AD3323" s="65"/>
    </row>
    <row r="3324" spans="1:30" s="64" customFormat="1" ht="21.75" customHeight="1">
      <c r="A3324" s="307"/>
      <c r="B3324" s="293" t="s">
        <v>589</v>
      </c>
      <c r="C3324" s="307">
        <v>1</v>
      </c>
      <c r="D3324" s="307">
        <v>1</v>
      </c>
      <c r="E3324" s="307">
        <v>3</v>
      </c>
      <c r="F3324" s="308">
        <v>2.2599999999999998</v>
      </c>
      <c r="G3324" s="308">
        <v>0.6</v>
      </c>
      <c r="H3324" s="307"/>
      <c r="I3324" s="323">
        <f t="shared" si="150"/>
        <v>4.07</v>
      </c>
      <c r="J3324" s="322"/>
      <c r="K3324" s="65"/>
      <c r="L3324" s="65"/>
      <c r="M3324" s="65"/>
      <c r="N3324" s="65">
        <f>1.8+0.46</f>
        <v>2.2599999999999998</v>
      </c>
      <c r="O3324" s="65"/>
      <c r="P3324" s="65"/>
      <c r="Q3324" s="65"/>
      <c r="R3324" s="65"/>
      <c r="S3324" s="65"/>
      <c r="T3324" s="65"/>
      <c r="U3324" s="65"/>
      <c r="V3324" s="65"/>
      <c r="W3324" s="65"/>
      <c r="X3324" s="65"/>
      <c r="Y3324" s="65"/>
      <c r="Z3324" s="65"/>
      <c r="AA3324" s="65"/>
      <c r="AB3324" s="65"/>
      <c r="AC3324" s="65"/>
      <c r="AD3324" s="65"/>
    </row>
    <row r="3325" spans="1:30" s="64" customFormat="1" ht="21.75" customHeight="1">
      <c r="A3325" s="307"/>
      <c r="B3325" s="293" t="s">
        <v>588</v>
      </c>
      <c r="C3325" s="307">
        <v>1</v>
      </c>
      <c r="D3325" s="307">
        <v>1</v>
      </c>
      <c r="E3325" s="307">
        <v>3</v>
      </c>
      <c r="F3325" s="308">
        <v>3.46</v>
      </c>
      <c r="G3325" s="307"/>
      <c r="H3325" s="307">
        <v>6.5000000000000002E-2</v>
      </c>
      <c r="I3325" s="323">
        <f t="shared" si="150"/>
        <v>0.67</v>
      </c>
      <c r="J3325" s="322"/>
      <c r="K3325" s="65"/>
      <c r="L3325" s="65"/>
      <c r="M3325" s="65"/>
      <c r="N3325" s="65">
        <f>2.26+0.6+0.6</f>
        <v>3.46</v>
      </c>
      <c r="O3325" s="65"/>
      <c r="P3325" s="65"/>
      <c r="Q3325" s="65"/>
      <c r="R3325" s="65"/>
      <c r="S3325" s="65"/>
      <c r="T3325" s="65"/>
      <c r="U3325" s="65"/>
      <c r="V3325" s="65"/>
      <c r="W3325" s="65"/>
      <c r="X3325" s="65"/>
      <c r="Y3325" s="65"/>
      <c r="Z3325" s="65"/>
      <c r="AA3325" s="65"/>
      <c r="AB3325" s="65"/>
      <c r="AC3325" s="65"/>
      <c r="AD3325" s="65"/>
    </row>
    <row r="3326" spans="1:30" s="64" customFormat="1" ht="21.75" customHeight="1">
      <c r="A3326" s="321"/>
      <c r="B3326" s="293" t="s">
        <v>587</v>
      </c>
      <c r="C3326" s="307">
        <v>1</v>
      </c>
      <c r="D3326" s="307">
        <v>2</v>
      </c>
      <c r="E3326" s="307">
        <v>3</v>
      </c>
      <c r="F3326" s="308">
        <v>1.66</v>
      </c>
      <c r="G3326" s="308">
        <v>0.6</v>
      </c>
      <c r="H3326" s="307"/>
      <c r="I3326" s="323">
        <f t="shared" si="150"/>
        <v>5.98</v>
      </c>
      <c r="J3326" s="322"/>
      <c r="K3326" s="65"/>
      <c r="L3326" s="65"/>
      <c r="M3326" s="65"/>
      <c r="N3326" s="65">
        <f>1.2+0.46</f>
        <v>1.66</v>
      </c>
      <c r="O3326" s="65"/>
      <c r="P3326" s="65"/>
      <c r="Q3326" s="65"/>
      <c r="R3326" s="65"/>
      <c r="S3326" s="65"/>
      <c r="T3326" s="65"/>
      <c r="U3326" s="65"/>
      <c r="V3326" s="65"/>
      <c r="W3326" s="65"/>
      <c r="X3326" s="65"/>
      <c r="Y3326" s="65"/>
      <c r="Z3326" s="65"/>
      <c r="AA3326" s="65"/>
      <c r="AB3326" s="65"/>
      <c r="AC3326" s="65"/>
      <c r="AD3326" s="65"/>
    </row>
    <row r="3327" spans="1:30" s="64" customFormat="1" ht="21.75" customHeight="1">
      <c r="A3327" s="321"/>
      <c r="B3327" s="293" t="s">
        <v>586</v>
      </c>
      <c r="C3327" s="307">
        <v>1</v>
      </c>
      <c r="D3327" s="307">
        <v>2</v>
      </c>
      <c r="E3327" s="307">
        <v>3</v>
      </c>
      <c r="F3327" s="308">
        <v>2.86</v>
      </c>
      <c r="G3327" s="307"/>
      <c r="H3327" s="307">
        <v>6.5000000000000002E-2</v>
      </c>
      <c r="I3327" s="323">
        <f t="shared" si="150"/>
        <v>1.1200000000000001</v>
      </c>
      <c r="J3327" s="322"/>
      <c r="K3327" s="65"/>
      <c r="L3327" s="65"/>
      <c r="M3327" s="65"/>
      <c r="N3327" s="65">
        <f>1.66+0.6+0.6</f>
        <v>2.86</v>
      </c>
      <c r="O3327" s="65"/>
      <c r="P3327" s="65"/>
      <c r="Q3327" s="65"/>
      <c r="R3327" s="65"/>
      <c r="S3327" s="65"/>
      <c r="T3327" s="65"/>
      <c r="U3327" s="65"/>
      <c r="V3327" s="65"/>
      <c r="W3327" s="65"/>
      <c r="X3327" s="65"/>
      <c r="Y3327" s="65"/>
      <c r="Z3327" s="65"/>
      <c r="AA3327" s="65"/>
      <c r="AB3327" s="65"/>
      <c r="AC3327" s="65"/>
      <c r="AD3327" s="65"/>
    </row>
    <row r="3328" spans="1:30" s="66" customFormat="1" ht="25.5" customHeight="1">
      <c r="A3328" s="294"/>
      <c r="B3328" s="320" t="s">
        <v>228</v>
      </c>
      <c r="C3328" s="294"/>
      <c r="D3328" s="294"/>
      <c r="E3328" s="294"/>
      <c r="F3328" s="300"/>
      <c r="G3328" s="294"/>
      <c r="H3328" s="300"/>
      <c r="I3328" s="298"/>
      <c r="J3328" s="303"/>
      <c r="K3328" s="67"/>
      <c r="L3328" s="67"/>
      <c r="M3328" s="67"/>
      <c r="N3328" s="67"/>
      <c r="O3328" s="67"/>
      <c r="P3328" s="67"/>
      <c r="Q3328" s="67"/>
      <c r="R3328" s="67"/>
      <c r="S3328" s="67"/>
      <c r="T3328" s="67"/>
      <c r="U3328" s="67"/>
      <c r="V3328" s="67"/>
      <c r="W3328" s="67"/>
      <c r="X3328" s="67"/>
      <c r="Y3328" s="67"/>
      <c r="Z3328" s="67"/>
      <c r="AA3328" s="67"/>
      <c r="AB3328" s="67"/>
      <c r="AC3328" s="67"/>
      <c r="AD3328" s="67"/>
    </row>
    <row r="3329" spans="1:30" s="78" customFormat="1" ht="25.5" customHeight="1">
      <c r="A3329" s="294"/>
      <c r="B3329" s="302" t="s">
        <v>227</v>
      </c>
      <c r="C3329" s="294">
        <v>11</v>
      </c>
      <c r="D3329" s="294">
        <v>5</v>
      </c>
      <c r="E3329" s="294">
        <v>2</v>
      </c>
      <c r="F3329" s="300">
        <v>2.645</v>
      </c>
      <c r="G3329" s="295">
        <v>0.3</v>
      </c>
      <c r="H3329" s="300"/>
      <c r="I3329" s="298">
        <f t="shared" ref="I3329:I3334" si="151">PRODUCT(C3329:H3329)</f>
        <v>87.29</v>
      </c>
      <c r="J3329" s="303"/>
      <c r="K3329" s="79"/>
      <c r="L3329" s="79"/>
      <c r="M3329" s="79"/>
      <c r="N3329" s="79">
        <f>1.215+1.43</f>
        <v>2.645</v>
      </c>
      <c r="O3329" s="79"/>
      <c r="P3329" s="79"/>
      <c r="Q3329" s="79"/>
      <c r="R3329" s="79"/>
      <c r="S3329" s="79"/>
      <c r="T3329" s="79"/>
      <c r="U3329" s="79"/>
      <c r="V3329" s="79"/>
      <c r="W3329" s="79"/>
      <c r="X3329" s="79"/>
      <c r="Y3329" s="79"/>
      <c r="Z3329" s="79"/>
      <c r="AA3329" s="79"/>
      <c r="AB3329" s="79"/>
      <c r="AC3329" s="79"/>
      <c r="AD3329" s="79"/>
    </row>
    <row r="3330" spans="1:30" s="78" customFormat="1" ht="25.5" customHeight="1">
      <c r="A3330" s="294"/>
      <c r="B3330" s="302" t="s">
        <v>226</v>
      </c>
      <c r="C3330" s="294">
        <v>11</v>
      </c>
      <c r="D3330" s="294">
        <v>5</v>
      </c>
      <c r="E3330" s="294">
        <v>2</v>
      </c>
      <c r="F3330" s="300">
        <v>2.645</v>
      </c>
      <c r="G3330" s="294">
        <v>0.115</v>
      </c>
      <c r="H3330" s="300"/>
      <c r="I3330" s="298">
        <f t="shared" si="151"/>
        <v>33.46</v>
      </c>
      <c r="J3330" s="303"/>
      <c r="K3330" s="79"/>
      <c r="L3330" s="79"/>
      <c r="M3330" s="79"/>
      <c r="N3330" s="79"/>
      <c r="O3330" s="79"/>
      <c r="P3330" s="79"/>
      <c r="Q3330" s="79"/>
      <c r="R3330" s="79"/>
      <c r="S3330" s="79"/>
      <c r="T3330" s="79"/>
      <c r="U3330" s="79"/>
      <c r="V3330" s="79"/>
      <c r="W3330" s="79"/>
      <c r="X3330" s="79"/>
      <c r="Y3330" s="79"/>
      <c r="Z3330" s="79"/>
      <c r="AA3330" s="79"/>
      <c r="AB3330" s="79"/>
      <c r="AC3330" s="79"/>
      <c r="AD3330" s="79"/>
    </row>
    <row r="3331" spans="1:30" s="78" customFormat="1" ht="25.5" customHeight="1">
      <c r="A3331" s="294"/>
      <c r="B3331" s="302" t="s">
        <v>225</v>
      </c>
      <c r="C3331" s="294">
        <v>11</v>
      </c>
      <c r="D3331" s="294">
        <v>5</v>
      </c>
      <c r="E3331" s="294">
        <v>2</v>
      </c>
      <c r="F3331" s="300">
        <v>2.1789999999999998</v>
      </c>
      <c r="G3331" s="295">
        <v>0.3</v>
      </c>
      <c r="H3331" s="300"/>
      <c r="I3331" s="298">
        <f t="shared" si="151"/>
        <v>71.91</v>
      </c>
      <c r="J3331" s="303"/>
      <c r="K3331" s="79"/>
      <c r="L3331" s="79"/>
      <c r="M3331" s="79"/>
      <c r="N3331" s="79">
        <f>1.194+0.985</f>
        <v>2.1789999999999998</v>
      </c>
      <c r="O3331" s="79"/>
      <c r="P3331" s="79"/>
      <c r="Q3331" s="79"/>
      <c r="R3331" s="79"/>
      <c r="S3331" s="79"/>
      <c r="T3331" s="79"/>
      <c r="U3331" s="79"/>
      <c r="V3331" s="79"/>
      <c r="W3331" s="79"/>
      <c r="X3331" s="79"/>
      <c r="Y3331" s="79"/>
      <c r="Z3331" s="79"/>
      <c r="AA3331" s="79"/>
      <c r="AB3331" s="79"/>
      <c r="AC3331" s="79"/>
      <c r="AD3331" s="79"/>
    </row>
    <row r="3332" spans="1:30" s="78" customFormat="1" ht="25.5" customHeight="1">
      <c r="A3332" s="294"/>
      <c r="B3332" s="302" t="s">
        <v>224</v>
      </c>
      <c r="C3332" s="294">
        <v>11</v>
      </c>
      <c r="D3332" s="294">
        <v>5</v>
      </c>
      <c r="E3332" s="294">
        <v>2</v>
      </c>
      <c r="F3332" s="295">
        <v>2.63</v>
      </c>
      <c r="G3332" s="295">
        <v>0.6</v>
      </c>
      <c r="H3332" s="300"/>
      <c r="I3332" s="298">
        <f t="shared" si="151"/>
        <v>173.58</v>
      </c>
      <c r="J3332" s="303"/>
      <c r="K3332" s="79"/>
      <c r="L3332" s="79"/>
      <c r="M3332" s="79"/>
      <c r="N3332" s="79">
        <f>1.2+0.715+0.715</f>
        <v>2.63</v>
      </c>
      <c r="O3332" s="79"/>
      <c r="P3332" s="79"/>
      <c r="Q3332" s="79"/>
      <c r="R3332" s="79"/>
      <c r="S3332" s="79"/>
      <c r="T3332" s="79"/>
      <c r="U3332" s="79"/>
      <c r="V3332" s="79"/>
      <c r="W3332" s="79"/>
      <c r="X3332" s="79"/>
      <c r="Y3332" s="79"/>
      <c r="Z3332" s="79"/>
      <c r="AA3332" s="79"/>
      <c r="AB3332" s="79"/>
      <c r="AC3332" s="79"/>
      <c r="AD3332" s="79"/>
    </row>
    <row r="3333" spans="1:30" s="78" customFormat="1" ht="25.5" customHeight="1">
      <c r="A3333" s="294"/>
      <c r="B3333" s="302" t="s">
        <v>223</v>
      </c>
      <c r="C3333" s="294">
        <v>11</v>
      </c>
      <c r="D3333" s="294">
        <v>5</v>
      </c>
      <c r="E3333" s="294">
        <v>2</v>
      </c>
      <c r="F3333" s="295">
        <v>2.63</v>
      </c>
      <c r="G3333" s="294">
        <v>0.115</v>
      </c>
      <c r="H3333" s="300"/>
      <c r="I3333" s="298">
        <f t="shared" si="151"/>
        <v>33.270000000000003</v>
      </c>
      <c r="J3333" s="303"/>
      <c r="K3333" s="79"/>
      <c r="L3333" s="79"/>
      <c r="M3333" s="79"/>
      <c r="N3333" s="79"/>
      <c r="O3333" s="79"/>
      <c r="P3333" s="79"/>
      <c r="Q3333" s="79"/>
      <c r="R3333" s="79"/>
      <c r="S3333" s="79"/>
      <c r="T3333" s="79"/>
      <c r="U3333" s="79"/>
      <c r="V3333" s="79"/>
      <c r="W3333" s="79"/>
      <c r="X3333" s="79"/>
      <c r="Y3333" s="79"/>
      <c r="Z3333" s="79"/>
      <c r="AA3333" s="79"/>
      <c r="AB3333" s="79"/>
      <c r="AC3333" s="79"/>
      <c r="AD3333" s="79"/>
    </row>
    <row r="3334" spans="1:30" s="78" customFormat="1" ht="25.5" customHeight="1">
      <c r="A3334" s="294"/>
      <c r="B3334" s="302" t="s">
        <v>222</v>
      </c>
      <c r="C3334" s="294">
        <v>11</v>
      </c>
      <c r="D3334" s="294">
        <v>5</v>
      </c>
      <c r="E3334" s="294">
        <v>2</v>
      </c>
      <c r="F3334" s="295">
        <v>2.4</v>
      </c>
      <c r="G3334" s="295">
        <v>0.3</v>
      </c>
      <c r="H3334" s="300"/>
      <c r="I3334" s="298">
        <f t="shared" si="151"/>
        <v>79.2</v>
      </c>
      <c r="J3334" s="303"/>
      <c r="K3334" s="79"/>
      <c r="L3334" s="79"/>
      <c r="M3334" s="79"/>
      <c r="N3334" s="79">
        <f>1.2+0.6+0.6</f>
        <v>2.4</v>
      </c>
      <c r="O3334" s="79"/>
      <c r="P3334" s="79"/>
      <c r="Q3334" s="79"/>
      <c r="R3334" s="79"/>
      <c r="S3334" s="79"/>
      <c r="T3334" s="79"/>
      <c r="U3334" s="79"/>
      <c r="V3334" s="79"/>
      <c r="W3334" s="79"/>
      <c r="X3334" s="79"/>
      <c r="Y3334" s="79"/>
      <c r="Z3334" s="79"/>
      <c r="AA3334" s="79"/>
      <c r="AB3334" s="79"/>
      <c r="AC3334" s="79"/>
      <c r="AD3334" s="79"/>
    </row>
    <row r="3335" spans="1:30" s="66" customFormat="1" ht="25.5" customHeight="1">
      <c r="A3335" s="289"/>
      <c r="B3335" s="324" t="s">
        <v>104</v>
      </c>
      <c r="C3335" s="289"/>
      <c r="D3335" s="294"/>
      <c r="E3335" s="294"/>
      <c r="F3335" s="300"/>
      <c r="G3335" s="294"/>
      <c r="H3335" s="300"/>
      <c r="I3335" s="291"/>
      <c r="J3335" s="303"/>
      <c r="K3335" s="67"/>
      <c r="L3335" s="67"/>
      <c r="M3335" s="67"/>
      <c r="N3335" s="67"/>
      <c r="O3335" s="67"/>
      <c r="P3335" s="67"/>
      <c r="Q3335" s="67"/>
      <c r="R3335" s="67"/>
      <c r="S3335" s="67"/>
      <c r="T3335" s="67"/>
      <c r="U3335" s="67"/>
      <c r="V3335" s="67"/>
      <c r="W3335" s="67"/>
      <c r="X3335" s="67"/>
      <c r="Y3335" s="67"/>
      <c r="Z3335" s="67"/>
      <c r="AA3335" s="67"/>
      <c r="AB3335" s="67"/>
      <c r="AC3335" s="67"/>
      <c r="AD3335" s="67"/>
    </row>
    <row r="3336" spans="1:30" s="66" customFormat="1" ht="25.5" customHeight="1">
      <c r="A3336" s="294"/>
      <c r="B3336" s="302" t="s">
        <v>872</v>
      </c>
      <c r="C3336" s="294">
        <v>1</v>
      </c>
      <c r="D3336" s="294">
        <v>8</v>
      </c>
      <c r="E3336" s="294">
        <v>1</v>
      </c>
      <c r="F3336" s="295">
        <v>10</v>
      </c>
      <c r="G3336" s="294"/>
      <c r="H3336" s="295">
        <v>20</v>
      </c>
      <c r="I3336" s="298">
        <f>PRODUCT(C3336:H3336)</f>
        <v>1600</v>
      </c>
      <c r="J3336" s="303"/>
      <c r="K3336" s="67"/>
      <c r="L3336" s="67"/>
      <c r="M3336" s="67"/>
      <c r="N3336" s="70">
        <f>1.9+3.1+1.9+3.1</f>
        <v>10</v>
      </c>
      <c r="O3336" s="67">
        <f>15*2.85</f>
        <v>42.75</v>
      </c>
      <c r="P3336" s="67">
        <f>O3336+1.5</f>
        <v>44.25</v>
      </c>
      <c r="Q3336" s="67"/>
      <c r="R3336" s="67"/>
      <c r="S3336" s="67"/>
      <c r="T3336" s="67"/>
      <c r="U3336" s="67"/>
      <c r="V3336" s="67"/>
      <c r="W3336" s="67"/>
      <c r="X3336" s="67"/>
      <c r="Y3336" s="67"/>
      <c r="Z3336" s="67"/>
      <c r="AA3336" s="67"/>
      <c r="AB3336" s="67"/>
      <c r="AC3336" s="67"/>
      <c r="AD3336" s="67"/>
    </row>
    <row r="3337" spans="1:30" s="66" customFormat="1" ht="25.5" customHeight="1">
      <c r="A3337" s="294"/>
      <c r="B3337" s="302" t="s">
        <v>873</v>
      </c>
      <c r="C3337" s="294">
        <v>1</v>
      </c>
      <c r="D3337" s="294">
        <v>2</v>
      </c>
      <c r="E3337" s="294">
        <v>1</v>
      </c>
      <c r="F3337" s="295">
        <v>8.8000000000000007</v>
      </c>
      <c r="G3337" s="294"/>
      <c r="H3337" s="295">
        <v>20</v>
      </c>
      <c r="I3337" s="298">
        <f>PRODUCT(C3337:H3337)</f>
        <v>352</v>
      </c>
      <c r="J3337" s="303"/>
      <c r="K3337" s="67"/>
      <c r="L3337" s="67"/>
      <c r="M3337" s="67"/>
      <c r="N3337" s="70"/>
      <c r="O3337" s="67"/>
      <c r="P3337" s="67"/>
      <c r="Q3337" s="67"/>
      <c r="R3337" s="67"/>
      <c r="S3337" s="67"/>
      <c r="T3337" s="67"/>
      <c r="U3337" s="67"/>
      <c r="V3337" s="67"/>
      <c r="W3337" s="67"/>
      <c r="X3337" s="67"/>
      <c r="Y3337" s="67"/>
      <c r="Z3337" s="67"/>
      <c r="AA3337" s="67"/>
      <c r="AB3337" s="67"/>
      <c r="AC3337" s="67"/>
      <c r="AD3337" s="67"/>
    </row>
    <row r="3338" spans="1:30" s="62" customFormat="1" ht="21.75" customHeight="1">
      <c r="A3338" s="307"/>
      <c r="B3338" s="293"/>
      <c r="C3338" s="307"/>
      <c r="D3338" s="307"/>
      <c r="E3338" s="307"/>
      <c r="F3338" s="317"/>
      <c r="G3338" s="602" t="s">
        <v>300</v>
      </c>
      <c r="H3338" s="603"/>
      <c r="I3338" s="418">
        <f>SUM(I3279:I3337)</f>
        <v>10701.99</v>
      </c>
      <c r="J3338" s="324" t="s">
        <v>115</v>
      </c>
      <c r="K3338" s="84"/>
      <c r="L3338" s="84"/>
      <c r="M3338" s="84"/>
      <c r="N3338" s="63"/>
      <c r="O3338" s="63"/>
      <c r="P3338" s="63"/>
      <c r="Q3338" s="63"/>
      <c r="R3338" s="63"/>
      <c r="S3338" s="63"/>
      <c r="T3338" s="63"/>
      <c r="U3338" s="63"/>
      <c r="V3338" s="63"/>
      <c r="W3338" s="63"/>
      <c r="X3338" s="63"/>
      <c r="Y3338" s="63"/>
      <c r="Z3338" s="63"/>
      <c r="AA3338" s="63"/>
      <c r="AB3338" s="63"/>
      <c r="AC3338" s="63"/>
      <c r="AD3338" s="63"/>
    </row>
    <row r="3339" spans="1:30" s="2" customFormat="1" ht="23.25" customHeight="1">
      <c r="A3339" s="278"/>
      <c r="B3339" s="286" t="s">
        <v>299</v>
      </c>
      <c r="C3339" s="280"/>
      <c r="D3339" s="280"/>
      <c r="E3339" s="280"/>
      <c r="F3339" s="282"/>
      <c r="G3339" s="282"/>
      <c r="H3339" s="282"/>
      <c r="I3339" s="416"/>
      <c r="J3339" s="284"/>
      <c r="K3339" s="43"/>
      <c r="L3339" s="43"/>
      <c r="M3339" s="43"/>
      <c r="N3339" s="9"/>
      <c r="O3339" s="9"/>
      <c r="P3339" s="9"/>
      <c r="Q3339" s="9"/>
      <c r="R3339" s="9"/>
      <c r="S3339" s="9"/>
      <c r="T3339" s="9"/>
      <c r="U3339" s="9"/>
      <c r="V3339" s="9"/>
      <c r="W3339" s="9"/>
      <c r="X3339" s="9"/>
      <c r="Y3339" s="9"/>
      <c r="Z3339" s="9"/>
      <c r="AA3339" s="9"/>
      <c r="AB3339" s="9"/>
      <c r="AC3339" s="9"/>
      <c r="AD3339" s="9"/>
    </row>
    <row r="3340" spans="1:30" s="33" customFormat="1" ht="29.25" customHeight="1">
      <c r="A3340" s="278"/>
      <c r="B3340" s="480" t="s">
        <v>298</v>
      </c>
      <c r="C3340" s="369">
        <v>1</v>
      </c>
      <c r="D3340" s="294">
        <v>1</v>
      </c>
      <c r="E3340" s="369">
        <v>2</v>
      </c>
      <c r="F3340" s="300">
        <v>3.3</v>
      </c>
      <c r="G3340" s="295"/>
      <c r="H3340" s="295">
        <v>0.72</v>
      </c>
      <c r="I3340" s="283">
        <f>PRODUCT(C3340:H3340)</f>
        <v>4.75</v>
      </c>
      <c r="J3340" s="284"/>
      <c r="K3340" s="43"/>
      <c r="L3340" s="43"/>
      <c r="M3340" s="43"/>
      <c r="N3340" s="34"/>
      <c r="O3340" s="34"/>
      <c r="P3340" s="34"/>
      <c r="Q3340" s="34"/>
      <c r="R3340" s="34"/>
      <c r="S3340" s="34"/>
      <c r="T3340" s="34"/>
      <c r="U3340" s="34"/>
      <c r="V3340" s="34"/>
      <c r="W3340" s="34"/>
      <c r="X3340" s="34"/>
      <c r="Y3340" s="34"/>
      <c r="Z3340" s="34"/>
      <c r="AA3340" s="34"/>
      <c r="AB3340" s="34"/>
      <c r="AC3340" s="34"/>
      <c r="AD3340" s="34"/>
    </row>
    <row r="3341" spans="1:30" s="33" customFormat="1" ht="23.25" customHeight="1">
      <c r="A3341" s="278"/>
      <c r="B3341" s="480" t="s">
        <v>297</v>
      </c>
      <c r="C3341" s="369">
        <v>1</v>
      </c>
      <c r="D3341" s="294">
        <v>1</v>
      </c>
      <c r="E3341" s="369">
        <v>2</v>
      </c>
      <c r="F3341" s="300">
        <v>3</v>
      </c>
      <c r="G3341" s="295"/>
      <c r="H3341" s="295">
        <v>0.72</v>
      </c>
      <c r="I3341" s="283">
        <f>PRODUCT(C3341:H3341)</f>
        <v>4.32</v>
      </c>
      <c r="J3341" s="284"/>
      <c r="K3341" s="43"/>
      <c r="L3341" s="43"/>
      <c r="M3341" s="43"/>
      <c r="N3341" s="34"/>
      <c r="O3341" s="34"/>
      <c r="P3341" s="34"/>
      <c r="Q3341" s="34"/>
      <c r="R3341" s="34"/>
      <c r="S3341" s="34"/>
      <c r="T3341" s="34"/>
      <c r="U3341" s="34"/>
      <c r="V3341" s="34"/>
      <c r="W3341" s="34"/>
      <c r="X3341" s="34"/>
      <c r="Y3341" s="34"/>
      <c r="Z3341" s="34"/>
      <c r="AA3341" s="34"/>
      <c r="AB3341" s="34"/>
      <c r="AC3341" s="34"/>
      <c r="AD3341" s="34"/>
    </row>
    <row r="3342" spans="1:30" s="2" customFormat="1" ht="19.5" customHeight="1">
      <c r="A3342" s="278"/>
      <c r="B3342" s="480"/>
      <c r="C3342" s="481"/>
      <c r="D3342" s="294"/>
      <c r="E3342" s="369"/>
      <c r="F3342" s="295"/>
      <c r="G3342" s="604"/>
      <c r="H3342" s="605"/>
      <c r="I3342" s="283">
        <f>SUM(I3340:I3341)</f>
        <v>9.07</v>
      </c>
      <c r="J3342" s="284"/>
      <c r="K3342" s="43"/>
      <c r="L3342" s="43"/>
      <c r="M3342" s="43"/>
      <c r="N3342" s="9"/>
      <c r="O3342" s="9"/>
      <c r="P3342" s="9"/>
      <c r="Q3342" s="9"/>
      <c r="R3342" s="9"/>
      <c r="S3342" s="9"/>
      <c r="T3342" s="9"/>
      <c r="U3342" s="9"/>
      <c r="V3342" s="9"/>
      <c r="W3342" s="9"/>
      <c r="X3342" s="9"/>
      <c r="Y3342" s="9"/>
      <c r="Z3342" s="9"/>
      <c r="AA3342" s="9"/>
      <c r="AB3342" s="9"/>
      <c r="AC3342" s="9"/>
      <c r="AD3342" s="9"/>
    </row>
    <row r="3343" spans="1:30" s="2" customFormat="1" ht="19.5" customHeight="1">
      <c r="A3343" s="278"/>
      <c r="B3343" s="480"/>
      <c r="C3343" s="481"/>
      <c r="D3343" s="294"/>
      <c r="E3343" s="369"/>
      <c r="F3343" s="295"/>
      <c r="G3343" s="599" t="s">
        <v>55</v>
      </c>
      <c r="H3343" s="600"/>
      <c r="I3343" s="416">
        <f>ROUNDUP(I3342,0)</f>
        <v>10</v>
      </c>
      <c r="J3343" s="343" t="s">
        <v>42</v>
      </c>
      <c r="K3343" s="44"/>
      <c r="L3343" s="44"/>
      <c r="M3343" s="44"/>
      <c r="N3343" s="9"/>
      <c r="O3343" s="9"/>
      <c r="P3343" s="9"/>
      <c r="Q3343" s="9"/>
      <c r="R3343" s="9"/>
      <c r="S3343" s="9"/>
      <c r="T3343" s="9"/>
      <c r="U3343" s="9"/>
      <c r="V3343" s="9"/>
      <c r="W3343" s="9"/>
      <c r="X3343" s="9"/>
      <c r="Y3343" s="9"/>
      <c r="Z3343" s="9"/>
      <c r="AA3343" s="9"/>
      <c r="AB3343" s="9"/>
      <c r="AC3343" s="9"/>
      <c r="AD3343" s="9"/>
    </row>
    <row r="3344" spans="1:30" s="2" customFormat="1" ht="23.25" customHeight="1">
      <c r="A3344" s="278"/>
      <c r="B3344" s="286" t="s">
        <v>296</v>
      </c>
      <c r="C3344" s="280"/>
      <c r="D3344" s="280"/>
      <c r="E3344" s="280"/>
      <c r="F3344" s="282"/>
      <c r="G3344" s="282"/>
      <c r="H3344" s="282"/>
      <c r="I3344" s="416"/>
      <c r="J3344" s="284"/>
      <c r="K3344" s="43"/>
      <c r="L3344" s="43"/>
      <c r="M3344" s="43"/>
      <c r="N3344" s="9"/>
      <c r="O3344" s="9"/>
      <c r="P3344" s="9"/>
      <c r="Q3344" s="9"/>
      <c r="R3344" s="9"/>
      <c r="S3344" s="9"/>
      <c r="T3344" s="9"/>
      <c r="U3344" s="9"/>
      <c r="V3344" s="9"/>
      <c r="W3344" s="9"/>
      <c r="X3344" s="9"/>
      <c r="Y3344" s="9"/>
      <c r="Z3344" s="9"/>
      <c r="AA3344" s="9"/>
      <c r="AB3344" s="9"/>
      <c r="AC3344" s="9"/>
      <c r="AD3344" s="9"/>
    </row>
    <row r="3345" spans="1:30" s="2" customFormat="1" ht="23.25" customHeight="1">
      <c r="A3345" s="278"/>
      <c r="B3345" s="286" t="s">
        <v>283</v>
      </c>
      <c r="C3345" s="280"/>
      <c r="D3345" s="280"/>
      <c r="E3345" s="280"/>
      <c r="F3345" s="282"/>
      <c r="G3345" s="282"/>
      <c r="H3345" s="282"/>
      <c r="I3345" s="416">
        <f>I3343</f>
        <v>10</v>
      </c>
      <c r="J3345" s="343" t="s">
        <v>42</v>
      </c>
      <c r="K3345" s="44"/>
      <c r="L3345" s="44"/>
      <c r="M3345" s="44"/>
      <c r="N3345" s="9"/>
      <c r="O3345" s="9"/>
      <c r="P3345" s="9"/>
      <c r="Q3345" s="9"/>
      <c r="R3345" s="9"/>
      <c r="S3345" s="9"/>
      <c r="T3345" s="9"/>
      <c r="U3345" s="9"/>
      <c r="V3345" s="9"/>
      <c r="W3345" s="9"/>
      <c r="X3345" s="9"/>
      <c r="Y3345" s="9"/>
      <c r="Z3345" s="9"/>
      <c r="AA3345" s="9"/>
      <c r="AB3345" s="9"/>
      <c r="AC3345" s="9"/>
      <c r="AD3345" s="9"/>
    </row>
    <row r="3346" spans="1:30" s="2" customFormat="1" ht="23.25" customHeight="1">
      <c r="A3346" s="278"/>
      <c r="B3346" s="286" t="s">
        <v>295</v>
      </c>
      <c r="C3346" s="280"/>
      <c r="D3346" s="280"/>
      <c r="E3346" s="280"/>
      <c r="F3346" s="282"/>
      <c r="G3346" s="282"/>
      <c r="H3346" s="282"/>
      <c r="I3346" s="416"/>
      <c r="J3346" s="284"/>
      <c r="K3346" s="43"/>
      <c r="L3346" s="43"/>
      <c r="M3346" s="43"/>
      <c r="N3346" s="9"/>
      <c r="O3346" s="9"/>
      <c r="P3346" s="9"/>
      <c r="Q3346" s="9"/>
      <c r="R3346" s="9"/>
      <c r="S3346" s="9"/>
      <c r="T3346" s="9"/>
      <c r="U3346" s="9"/>
      <c r="V3346" s="9"/>
      <c r="W3346" s="9"/>
      <c r="X3346" s="9"/>
      <c r="Y3346" s="9"/>
      <c r="Z3346" s="9"/>
      <c r="AA3346" s="9"/>
      <c r="AB3346" s="9"/>
      <c r="AC3346" s="9"/>
      <c r="AD3346" s="9"/>
    </row>
    <row r="3347" spans="1:30" s="2" customFormat="1" ht="23.25" customHeight="1">
      <c r="A3347" s="278"/>
      <c r="B3347" s="286" t="s">
        <v>283</v>
      </c>
      <c r="C3347" s="280"/>
      <c r="D3347" s="280"/>
      <c r="E3347" s="280"/>
      <c r="F3347" s="282"/>
      <c r="G3347" s="282"/>
      <c r="H3347" s="282"/>
      <c r="I3347" s="416">
        <f>I3345</f>
        <v>10</v>
      </c>
      <c r="J3347" s="343" t="s">
        <v>42</v>
      </c>
      <c r="K3347" s="44"/>
      <c r="L3347" s="44"/>
      <c r="M3347" s="44"/>
      <c r="N3347" s="9"/>
      <c r="O3347" s="9"/>
      <c r="P3347" s="9"/>
      <c r="Q3347" s="9"/>
      <c r="R3347" s="9"/>
      <c r="S3347" s="9"/>
      <c r="T3347" s="9"/>
      <c r="U3347" s="9"/>
      <c r="V3347" s="9"/>
      <c r="W3347" s="9"/>
      <c r="X3347" s="9"/>
      <c r="Y3347" s="9"/>
      <c r="Z3347" s="9"/>
      <c r="AA3347" s="9"/>
      <c r="AB3347" s="9"/>
      <c r="AC3347" s="9"/>
      <c r="AD3347" s="9"/>
    </row>
    <row r="3348" spans="1:30" s="2" customFormat="1" ht="23.25" customHeight="1">
      <c r="A3348" s="278"/>
      <c r="B3348" s="286" t="s">
        <v>294</v>
      </c>
      <c r="C3348" s="280"/>
      <c r="D3348" s="280"/>
      <c r="E3348" s="280"/>
      <c r="F3348" s="282"/>
      <c r="G3348" s="282"/>
      <c r="H3348" s="282"/>
      <c r="I3348" s="416"/>
      <c r="J3348" s="284"/>
      <c r="K3348" s="43"/>
      <c r="L3348" s="43"/>
      <c r="M3348" s="43"/>
      <c r="N3348" s="9"/>
      <c r="O3348" s="9"/>
      <c r="P3348" s="9"/>
      <c r="Q3348" s="9"/>
      <c r="R3348" s="9"/>
      <c r="S3348" s="9"/>
      <c r="T3348" s="9"/>
      <c r="U3348" s="9"/>
      <c r="V3348" s="9"/>
      <c r="W3348" s="9"/>
      <c r="X3348" s="9"/>
      <c r="Y3348" s="9"/>
      <c r="Z3348" s="9"/>
      <c r="AA3348" s="9"/>
      <c r="AB3348" s="9"/>
      <c r="AC3348" s="9"/>
      <c r="AD3348" s="9"/>
    </row>
    <row r="3349" spans="1:30" s="2" customFormat="1" ht="23.25" customHeight="1">
      <c r="A3349" s="278"/>
      <c r="B3349" s="286" t="s">
        <v>283</v>
      </c>
      <c r="C3349" s="280"/>
      <c r="D3349" s="280"/>
      <c r="E3349" s="280"/>
      <c r="F3349" s="282"/>
      <c r="G3349" s="282"/>
      <c r="H3349" s="282"/>
      <c r="I3349" s="416">
        <f>I3347</f>
        <v>10</v>
      </c>
      <c r="J3349" s="343" t="s">
        <v>42</v>
      </c>
      <c r="K3349" s="44"/>
      <c r="L3349" s="44"/>
      <c r="M3349" s="44"/>
      <c r="N3349" s="9"/>
      <c r="O3349" s="9"/>
      <c r="P3349" s="9"/>
      <c r="Q3349" s="9"/>
      <c r="R3349" s="9"/>
      <c r="S3349" s="9"/>
      <c r="T3349" s="9"/>
      <c r="U3349" s="9"/>
      <c r="V3349" s="9"/>
      <c r="W3349" s="9"/>
      <c r="X3349" s="9"/>
      <c r="Y3349" s="9"/>
      <c r="Z3349" s="9"/>
      <c r="AA3349" s="9"/>
      <c r="AB3349" s="9"/>
      <c r="AC3349" s="9"/>
      <c r="AD3349" s="9"/>
    </row>
    <row r="3350" spans="1:30" s="2" customFormat="1" ht="23.25" customHeight="1">
      <c r="A3350" s="278"/>
      <c r="B3350" s="286" t="s">
        <v>293</v>
      </c>
      <c r="C3350" s="280"/>
      <c r="D3350" s="280"/>
      <c r="E3350" s="280"/>
      <c r="F3350" s="282"/>
      <c r="G3350" s="282"/>
      <c r="H3350" s="282"/>
      <c r="I3350" s="416"/>
      <c r="J3350" s="284"/>
      <c r="K3350" s="43"/>
      <c r="L3350" s="43"/>
      <c r="M3350" s="43"/>
      <c r="N3350" s="9"/>
      <c r="O3350" s="9"/>
      <c r="P3350" s="9"/>
      <c r="Q3350" s="9"/>
      <c r="R3350" s="9"/>
      <c r="S3350" s="9"/>
      <c r="T3350" s="9"/>
      <c r="U3350" s="9"/>
      <c r="V3350" s="9"/>
      <c r="W3350" s="9"/>
      <c r="X3350" s="9"/>
      <c r="Y3350" s="9"/>
      <c r="Z3350" s="9"/>
      <c r="AA3350" s="9"/>
      <c r="AB3350" s="9"/>
      <c r="AC3350" s="9"/>
      <c r="AD3350" s="9"/>
    </row>
    <row r="3351" spans="1:30" s="2" customFormat="1" ht="23.25" customHeight="1">
      <c r="A3351" s="278"/>
      <c r="B3351" s="286" t="s">
        <v>283</v>
      </c>
      <c r="C3351" s="280"/>
      <c r="D3351" s="280"/>
      <c r="E3351" s="280"/>
      <c r="F3351" s="282"/>
      <c r="G3351" s="282"/>
      <c r="H3351" s="282"/>
      <c r="I3351" s="416">
        <f>I3349</f>
        <v>10</v>
      </c>
      <c r="J3351" s="343" t="s">
        <v>42</v>
      </c>
      <c r="K3351" s="44"/>
      <c r="L3351" s="44"/>
      <c r="M3351" s="44"/>
      <c r="N3351" s="9"/>
      <c r="O3351" s="9"/>
      <c r="P3351" s="9"/>
      <c r="Q3351" s="9"/>
      <c r="R3351" s="9"/>
      <c r="S3351" s="9"/>
      <c r="T3351" s="9"/>
      <c r="U3351" s="9"/>
      <c r="V3351" s="9"/>
      <c r="W3351" s="9"/>
      <c r="X3351" s="9"/>
      <c r="Y3351" s="9"/>
      <c r="Z3351" s="9"/>
      <c r="AA3351" s="9"/>
      <c r="AB3351" s="9"/>
      <c r="AC3351" s="9"/>
      <c r="AD3351" s="9"/>
    </row>
    <row r="3352" spans="1:30" s="2" customFormat="1" ht="23.25" customHeight="1">
      <c r="A3352" s="278"/>
      <c r="B3352" s="286" t="s">
        <v>292</v>
      </c>
      <c r="C3352" s="280"/>
      <c r="D3352" s="280"/>
      <c r="E3352" s="280"/>
      <c r="F3352" s="282"/>
      <c r="G3352" s="282"/>
      <c r="H3352" s="282"/>
      <c r="I3352" s="416"/>
      <c r="J3352" s="284"/>
      <c r="K3352" s="43"/>
      <c r="L3352" s="43"/>
      <c r="M3352" s="43"/>
      <c r="N3352" s="9"/>
      <c r="O3352" s="9"/>
      <c r="P3352" s="9"/>
      <c r="Q3352" s="9"/>
      <c r="R3352" s="9"/>
      <c r="S3352" s="9"/>
      <c r="T3352" s="9"/>
      <c r="U3352" s="9"/>
      <c r="V3352" s="9"/>
      <c r="W3352" s="9"/>
      <c r="X3352" s="9"/>
      <c r="Y3352" s="9"/>
      <c r="Z3352" s="9"/>
      <c r="AA3352" s="9"/>
      <c r="AB3352" s="9"/>
      <c r="AC3352" s="9"/>
      <c r="AD3352" s="9"/>
    </row>
    <row r="3353" spans="1:30" s="2" customFormat="1" ht="23.25" customHeight="1">
      <c r="A3353" s="278"/>
      <c r="B3353" s="286" t="s">
        <v>283</v>
      </c>
      <c r="C3353" s="280"/>
      <c r="D3353" s="280"/>
      <c r="E3353" s="280"/>
      <c r="F3353" s="282"/>
      <c r="G3353" s="282"/>
      <c r="H3353" s="282"/>
      <c r="I3353" s="416">
        <f>I3351</f>
        <v>10</v>
      </c>
      <c r="J3353" s="343" t="s">
        <v>42</v>
      </c>
      <c r="K3353" s="44"/>
      <c r="L3353" s="44"/>
      <c r="M3353" s="44"/>
      <c r="N3353" s="9"/>
      <c r="O3353" s="9"/>
      <c r="P3353" s="9"/>
      <c r="Q3353" s="9"/>
      <c r="R3353" s="9"/>
      <c r="S3353" s="9"/>
      <c r="T3353" s="9"/>
      <c r="U3353" s="9"/>
      <c r="V3353" s="9"/>
      <c r="W3353" s="9"/>
      <c r="X3353" s="9"/>
      <c r="Y3353" s="9"/>
      <c r="Z3353" s="9"/>
      <c r="AA3353" s="9"/>
      <c r="AB3353" s="9"/>
      <c r="AC3353" s="9"/>
      <c r="AD3353" s="9"/>
    </row>
    <row r="3354" spans="1:30" s="2" customFormat="1" ht="23.25" customHeight="1">
      <c r="A3354" s="278"/>
      <c r="B3354" s="286" t="s">
        <v>291</v>
      </c>
      <c r="C3354" s="280"/>
      <c r="D3354" s="280"/>
      <c r="E3354" s="280"/>
      <c r="F3354" s="282"/>
      <c r="G3354" s="282"/>
      <c r="H3354" s="282"/>
      <c r="I3354" s="416"/>
      <c r="J3354" s="284"/>
      <c r="K3354" s="43"/>
      <c r="L3354" s="43"/>
      <c r="M3354" s="43"/>
      <c r="N3354" s="9"/>
      <c r="O3354" s="9"/>
      <c r="P3354" s="9"/>
      <c r="Q3354" s="9"/>
      <c r="R3354" s="9"/>
      <c r="S3354" s="9"/>
      <c r="T3354" s="9"/>
      <c r="U3354" s="9"/>
      <c r="V3354" s="9"/>
      <c r="W3354" s="9"/>
      <c r="X3354" s="9"/>
      <c r="Y3354" s="9"/>
      <c r="Z3354" s="9"/>
      <c r="AA3354" s="9"/>
      <c r="AB3354" s="9"/>
      <c r="AC3354" s="9"/>
      <c r="AD3354" s="9"/>
    </row>
    <row r="3355" spans="1:30" s="2" customFormat="1" ht="23.25" customHeight="1">
      <c r="A3355" s="278"/>
      <c r="B3355" s="286" t="s">
        <v>283</v>
      </c>
      <c r="C3355" s="280"/>
      <c r="D3355" s="280"/>
      <c r="E3355" s="280"/>
      <c r="F3355" s="282"/>
      <c r="G3355" s="282"/>
      <c r="H3355" s="282"/>
      <c r="I3355" s="416">
        <f>I3353</f>
        <v>10</v>
      </c>
      <c r="J3355" s="343" t="s">
        <v>42</v>
      </c>
      <c r="K3355" s="44"/>
      <c r="L3355" s="44"/>
      <c r="M3355" s="44"/>
      <c r="N3355" s="9"/>
      <c r="O3355" s="9"/>
      <c r="P3355" s="9"/>
      <c r="Q3355" s="9"/>
      <c r="R3355" s="9"/>
      <c r="S3355" s="9"/>
      <c r="T3355" s="9"/>
      <c r="U3355" s="9"/>
      <c r="V3355" s="9"/>
      <c r="W3355" s="9"/>
      <c r="X3355" s="9"/>
      <c r="Y3355" s="9"/>
      <c r="Z3355" s="9"/>
      <c r="AA3355" s="9"/>
      <c r="AB3355" s="9"/>
      <c r="AC3355" s="9"/>
      <c r="AD3355" s="9"/>
    </row>
    <row r="3356" spans="1:30" s="2" customFormat="1" ht="23.25" customHeight="1">
      <c r="A3356" s="278"/>
      <c r="B3356" s="286" t="s">
        <v>290</v>
      </c>
      <c r="C3356" s="280"/>
      <c r="D3356" s="280"/>
      <c r="E3356" s="280"/>
      <c r="F3356" s="282"/>
      <c r="G3356" s="282"/>
      <c r="H3356" s="282"/>
      <c r="I3356" s="416"/>
      <c r="J3356" s="284"/>
      <c r="K3356" s="43"/>
      <c r="L3356" s="43"/>
      <c r="M3356" s="43"/>
      <c r="N3356" s="9"/>
      <c r="O3356" s="9"/>
      <c r="P3356" s="9"/>
      <c r="Q3356" s="9"/>
      <c r="R3356" s="9"/>
      <c r="S3356" s="9"/>
      <c r="T3356" s="9"/>
      <c r="U3356" s="9"/>
      <c r="V3356" s="9"/>
      <c r="W3356" s="9"/>
      <c r="X3356" s="9"/>
      <c r="Y3356" s="9"/>
      <c r="Z3356" s="9"/>
      <c r="AA3356" s="9"/>
      <c r="AB3356" s="9"/>
      <c r="AC3356" s="9"/>
      <c r="AD3356" s="9"/>
    </row>
    <row r="3357" spans="1:30" s="2" customFormat="1" ht="23.25" customHeight="1">
      <c r="A3357" s="278"/>
      <c r="B3357" s="286" t="s">
        <v>283</v>
      </c>
      <c r="C3357" s="280"/>
      <c r="D3357" s="280"/>
      <c r="E3357" s="280"/>
      <c r="F3357" s="282"/>
      <c r="G3357" s="282"/>
      <c r="H3357" s="282"/>
      <c r="I3357" s="416">
        <f>I3355</f>
        <v>10</v>
      </c>
      <c r="J3357" s="343" t="s">
        <v>42</v>
      </c>
      <c r="K3357" s="44"/>
      <c r="L3357" s="44"/>
      <c r="M3357" s="44"/>
      <c r="N3357" s="9"/>
      <c r="O3357" s="9"/>
      <c r="P3357" s="9"/>
      <c r="Q3357" s="9"/>
      <c r="R3357" s="9"/>
      <c r="S3357" s="9"/>
      <c r="T3357" s="9"/>
      <c r="U3357" s="9"/>
      <c r="V3357" s="9"/>
      <c r="W3357" s="9"/>
      <c r="X3357" s="9"/>
      <c r="Y3357" s="9"/>
      <c r="Z3357" s="9"/>
      <c r="AA3357" s="9"/>
      <c r="AB3357" s="9"/>
      <c r="AC3357" s="9"/>
      <c r="AD3357" s="9"/>
    </row>
    <row r="3358" spans="1:30" s="2" customFormat="1" ht="23.25" customHeight="1">
      <c r="A3358" s="278"/>
      <c r="B3358" s="286" t="s">
        <v>289</v>
      </c>
      <c r="C3358" s="280"/>
      <c r="D3358" s="280"/>
      <c r="E3358" s="280"/>
      <c r="F3358" s="282"/>
      <c r="G3358" s="282"/>
      <c r="H3358" s="282"/>
      <c r="I3358" s="416"/>
      <c r="J3358" s="284"/>
      <c r="K3358" s="43"/>
      <c r="L3358" s="43"/>
      <c r="M3358" s="43"/>
      <c r="N3358" s="9"/>
      <c r="O3358" s="9"/>
      <c r="P3358" s="9"/>
      <c r="Q3358" s="9"/>
      <c r="R3358" s="9"/>
      <c r="S3358" s="9"/>
      <c r="T3358" s="9"/>
      <c r="U3358" s="9"/>
      <c r="V3358" s="9"/>
      <c r="W3358" s="9"/>
      <c r="X3358" s="9"/>
      <c r="Y3358" s="9"/>
      <c r="Z3358" s="9"/>
      <c r="AA3358" s="9"/>
      <c r="AB3358" s="9"/>
      <c r="AC3358" s="9"/>
      <c r="AD3358" s="9"/>
    </row>
    <row r="3359" spans="1:30" s="2" customFormat="1" ht="23.25" customHeight="1">
      <c r="A3359" s="278"/>
      <c r="B3359" s="286" t="s">
        <v>283</v>
      </c>
      <c r="C3359" s="280"/>
      <c r="D3359" s="280"/>
      <c r="E3359" s="280"/>
      <c r="F3359" s="282"/>
      <c r="G3359" s="282"/>
      <c r="H3359" s="282"/>
      <c r="I3359" s="416">
        <f>I3357</f>
        <v>10</v>
      </c>
      <c r="J3359" s="343" t="s">
        <v>42</v>
      </c>
      <c r="K3359" s="44"/>
      <c r="L3359" s="44"/>
      <c r="M3359" s="44"/>
      <c r="N3359" s="9"/>
      <c r="O3359" s="9"/>
      <c r="P3359" s="9"/>
      <c r="Q3359" s="9"/>
      <c r="R3359" s="9"/>
      <c r="S3359" s="9"/>
      <c r="T3359" s="9"/>
      <c r="U3359" s="9"/>
      <c r="V3359" s="9"/>
      <c r="W3359" s="9"/>
      <c r="X3359" s="9"/>
      <c r="Y3359" s="9"/>
      <c r="Z3359" s="9"/>
      <c r="AA3359" s="9"/>
      <c r="AB3359" s="9"/>
      <c r="AC3359" s="9"/>
      <c r="AD3359" s="9"/>
    </row>
    <row r="3360" spans="1:30" s="2" customFormat="1" ht="23.25" customHeight="1">
      <c r="A3360" s="278"/>
      <c r="B3360" s="286" t="s">
        <v>288</v>
      </c>
      <c r="C3360" s="280"/>
      <c r="D3360" s="280"/>
      <c r="E3360" s="280"/>
      <c r="F3360" s="282"/>
      <c r="G3360" s="282"/>
      <c r="H3360" s="282"/>
      <c r="I3360" s="283"/>
      <c r="J3360" s="284"/>
      <c r="K3360" s="43"/>
      <c r="L3360" s="43"/>
      <c r="M3360" s="43"/>
      <c r="N3360" s="9"/>
      <c r="O3360" s="9"/>
      <c r="P3360" s="9"/>
      <c r="Q3360" s="9"/>
      <c r="R3360" s="9"/>
      <c r="S3360" s="9"/>
      <c r="T3360" s="9"/>
      <c r="U3360" s="9"/>
      <c r="V3360" s="9"/>
      <c r="W3360" s="9"/>
      <c r="X3360" s="9"/>
      <c r="Y3360" s="9"/>
      <c r="Z3360" s="9"/>
      <c r="AA3360" s="9"/>
      <c r="AB3360" s="9"/>
      <c r="AC3360" s="9"/>
      <c r="AD3360" s="9"/>
    </row>
    <row r="3361" spans="1:30" s="2" customFormat="1" ht="23.25" customHeight="1">
      <c r="A3361" s="278"/>
      <c r="B3361" s="286" t="s">
        <v>283</v>
      </c>
      <c r="C3361" s="280"/>
      <c r="D3361" s="280"/>
      <c r="E3361" s="280"/>
      <c r="F3361" s="282"/>
      <c r="G3361" s="282"/>
      <c r="H3361" s="282"/>
      <c r="I3361" s="416">
        <f>I3359</f>
        <v>10</v>
      </c>
      <c r="J3361" s="343" t="s">
        <v>42</v>
      </c>
      <c r="K3361" s="44"/>
      <c r="L3361" s="44"/>
      <c r="M3361" s="44"/>
      <c r="N3361" s="9"/>
      <c r="O3361" s="9"/>
      <c r="P3361" s="9"/>
      <c r="Q3361" s="9"/>
      <c r="R3361" s="9"/>
      <c r="S3361" s="9"/>
      <c r="T3361" s="9"/>
      <c r="U3361" s="9"/>
      <c r="V3361" s="9"/>
      <c r="W3361" s="9"/>
      <c r="X3361" s="9"/>
      <c r="Y3361" s="9"/>
      <c r="Z3361" s="9"/>
      <c r="AA3361" s="9"/>
      <c r="AB3361" s="9"/>
      <c r="AC3361" s="9"/>
      <c r="AD3361" s="9"/>
    </row>
    <row r="3362" spans="1:30" s="2" customFormat="1" ht="23.25" customHeight="1">
      <c r="A3362" s="278"/>
      <c r="B3362" s="286" t="s">
        <v>287</v>
      </c>
      <c r="C3362" s="280"/>
      <c r="D3362" s="280"/>
      <c r="E3362" s="280"/>
      <c r="F3362" s="282"/>
      <c r="G3362" s="282"/>
      <c r="H3362" s="282"/>
      <c r="I3362" s="283"/>
      <c r="J3362" s="284"/>
      <c r="K3362" s="43"/>
      <c r="L3362" s="43"/>
      <c r="M3362" s="43"/>
      <c r="N3362" s="9"/>
      <c r="O3362" s="9"/>
      <c r="P3362" s="9"/>
      <c r="Q3362" s="9"/>
      <c r="R3362" s="9"/>
      <c r="S3362" s="9"/>
      <c r="T3362" s="9"/>
      <c r="U3362" s="9"/>
      <c r="V3362" s="9"/>
      <c r="W3362" s="9"/>
      <c r="X3362" s="9"/>
      <c r="Y3362" s="9"/>
      <c r="Z3362" s="9"/>
      <c r="AA3362" s="9"/>
      <c r="AB3362" s="9"/>
      <c r="AC3362" s="9"/>
      <c r="AD3362" s="9"/>
    </row>
    <row r="3363" spans="1:30" s="2" customFormat="1" ht="23.25" customHeight="1">
      <c r="A3363" s="278"/>
      <c r="B3363" s="286" t="s">
        <v>283</v>
      </c>
      <c r="C3363" s="280"/>
      <c r="D3363" s="280"/>
      <c r="E3363" s="280"/>
      <c r="F3363" s="282"/>
      <c r="G3363" s="282"/>
      <c r="H3363" s="282"/>
      <c r="I3363" s="416">
        <f>I3361</f>
        <v>10</v>
      </c>
      <c r="J3363" s="343" t="s">
        <v>42</v>
      </c>
      <c r="K3363" s="44"/>
      <c r="L3363" s="44"/>
      <c r="M3363" s="44"/>
      <c r="N3363" s="9"/>
      <c r="O3363" s="9"/>
      <c r="P3363" s="9"/>
      <c r="Q3363" s="9"/>
      <c r="R3363" s="9"/>
      <c r="S3363" s="9"/>
      <c r="T3363" s="9"/>
      <c r="U3363" s="9"/>
      <c r="V3363" s="9"/>
      <c r="W3363" s="9"/>
      <c r="X3363" s="9"/>
      <c r="Y3363" s="9"/>
      <c r="Z3363" s="9"/>
      <c r="AA3363" s="9"/>
      <c r="AB3363" s="9"/>
      <c r="AC3363" s="9"/>
      <c r="AD3363" s="9"/>
    </row>
    <row r="3364" spans="1:30" s="2" customFormat="1" ht="23.25" customHeight="1">
      <c r="A3364" s="278"/>
      <c r="B3364" s="286" t="s">
        <v>286</v>
      </c>
      <c r="C3364" s="280"/>
      <c r="D3364" s="280"/>
      <c r="E3364" s="280"/>
      <c r="F3364" s="463"/>
      <c r="G3364" s="282"/>
      <c r="H3364" s="282"/>
      <c r="I3364" s="416"/>
      <c r="J3364" s="284"/>
      <c r="K3364" s="43"/>
      <c r="L3364" s="43"/>
      <c r="M3364" s="43"/>
      <c r="N3364" s="9"/>
      <c r="O3364" s="9"/>
      <c r="P3364" s="9"/>
      <c r="Q3364" s="9"/>
      <c r="R3364" s="9"/>
      <c r="S3364" s="9"/>
      <c r="T3364" s="9"/>
      <c r="U3364" s="9"/>
      <c r="V3364" s="9"/>
      <c r="W3364" s="9"/>
      <c r="X3364" s="9"/>
      <c r="Y3364" s="9"/>
      <c r="Z3364" s="9"/>
      <c r="AA3364" s="9"/>
      <c r="AB3364" s="9"/>
      <c r="AC3364" s="9"/>
      <c r="AD3364" s="9"/>
    </row>
    <row r="3365" spans="1:30" s="2" customFormat="1" ht="23.25" customHeight="1">
      <c r="A3365" s="278"/>
      <c r="B3365" s="286" t="s">
        <v>283</v>
      </c>
      <c r="C3365" s="280"/>
      <c r="D3365" s="280"/>
      <c r="E3365" s="280"/>
      <c r="F3365" s="463"/>
      <c r="G3365" s="282"/>
      <c r="H3365" s="282"/>
      <c r="I3365" s="416">
        <f>I3363</f>
        <v>10</v>
      </c>
      <c r="J3365" s="343" t="s">
        <v>42</v>
      </c>
      <c r="K3365" s="44"/>
      <c r="L3365" s="44"/>
      <c r="M3365" s="44"/>
      <c r="N3365" s="9"/>
      <c r="O3365" s="9"/>
      <c r="P3365" s="9"/>
      <c r="Q3365" s="9"/>
      <c r="R3365" s="9"/>
      <c r="S3365" s="9"/>
      <c r="T3365" s="9"/>
      <c r="U3365" s="9"/>
      <c r="V3365" s="9"/>
      <c r="W3365" s="9"/>
      <c r="X3365" s="9"/>
      <c r="Y3365" s="9"/>
      <c r="Z3365" s="9"/>
      <c r="AA3365" s="9"/>
      <c r="AB3365" s="9"/>
      <c r="AC3365" s="9"/>
      <c r="AD3365" s="9"/>
    </row>
    <row r="3366" spans="1:30" s="2" customFormat="1" ht="23.25" customHeight="1">
      <c r="A3366" s="278"/>
      <c r="B3366" s="286" t="s">
        <v>285</v>
      </c>
      <c r="C3366" s="280"/>
      <c r="D3366" s="280"/>
      <c r="E3366" s="280"/>
      <c r="F3366" s="463"/>
      <c r="G3366" s="282"/>
      <c r="H3366" s="282"/>
      <c r="I3366" s="416"/>
      <c r="J3366" s="284"/>
      <c r="K3366" s="43"/>
      <c r="L3366" s="43"/>
      <c r="M3366" s="43"/>
      <c r="N3366" s="9"/>
      <c r="O3366" s="9"/>
      <c r="P3366" s="9"/>
      <c r="Q3366" s="9"/>
      <c r="R3366" s="9"/>
      <c r="S3366" s="9"/>
      <c r="T3366" s="9"/>
      <c r="U3366" s="9"/>
      <c r="V3366" s="9"/>
      <c r="W3366" s="9"/>
      <c r="X3366" s="9"/>
      <c r="Y3366" s="9"/>
      <c r="Z3366" s="9"/>
      <c r="AA3366" s="9"/>
      <c r="AB3366" s="9"/>
      <c r="AC3366" s="9"/>
      <c r="AD3366" s="9"/>
    </row>
    <row r="3367" spans="1:30" s="2" customFormat="1" ht="23.25" customHeight="1">
      <c r="A3367" s="278"/>
      <c r="B3367" s="286" t="s">
        <v>283</v>
      </c>
      <c r="C3367" s="280"/>
      <c r="D3367" s="280"/>
      <c r="E3367" s="280"/>
      <c r="F3367" s="463"/>
      <c r="G3367" s="282"/>
      <c r="H3367" s="282"/>
      <c r="I3367" s="416">
        <f>I3365</f>
        <v>10</v>
      </c>
      <c r="J3367" s="343" t="s">
        <v>42</v>
      </c>
      <c r="K3367" s="44"/>
      <c r="L3367" s="44"/>
      <c r="M3367" s="44"/>
      <c r="N3367" s="9"/>
      <c r="O3367" s="9"/>
      <c r="P3367" s="9"/>
      <c r="Q3367" s="9"/>
      <c r="R3367" s="9"/>
      <c r="S3367" s="9"/>
      <c r="T3367" s="9"/>
      <c r="U3367" s="9"/>
      <c r="V3367" s="9"/>
      <c r="W3367" s="9"/>
      <c r="X3367" s="9"/>
      <c r="Y3367" s="9"/>
      <c r="Z3367" s="9"/>
      <c r="AA3367" s="9"/>
      <c r="AB3367" s="9"/>
      <c r="AC3367" s="9"/>
      <c r="AD3367" s="9"/>
    </row>
    <row r="3368" spans="1:30" s="2" customFormat="1" ht="23.25" customHeight="1">
      <c r="A3368" s="278"/>
      <c r="B3368" s="286" t="s">
        <v>284</v>
      </c>
      <c r="C3368" s="280"/>
      <c r="D3368" s="280"/>
      <c r="E3368" s="280"/>
      <c r="F3368" s="463"/>
      <c r="G3368" s="282"/>
      <c r="H3368" s="282"/>
      <c r="I3368" s="416"/>
      <c r="J3368" s="284"/>
      <c r="K3368" s="43"/>
      <c r="L3368" s="43"/>
      <c r="M3368" s="43"/>
      <c r="N3368" s="9"/>
      <c r="O3368" s="9"/>
      <c r="P3368" s="9"/>
      <c r="Q3368" s="9"/>
      <c r="R3368" s="9"/>
      <c r="S3368" s="9"/>
      <c r="T3368" s="9"/>
      <c r="U3368" s="9"/>
      <c r="V3368" s="9"/>
      <c r="W3368" s="9"/>
      <c r="X3368" s="9"/>
      <c r="Y3368" s="9"/>
      <c r="Z3368" s="9"/>
      <c r="AA3368" s="9"/>
      <c r="AB3368" s="9"/>
      <c r="AC3368" s="9"/>
      <c r="AD3368" s="9"/>
    </row>
    <row r="3369" spans="1:30" s="2" customFormat="1" ht="23.25" customHeight="1">
      <c r="A3369" s="278"/>
      <c r="B3369" s="286" t="s">
        <v>283</v>
      </c>
      <c r="C3369" s="280"/>
      <c r="D3369" s="280"/>
      <c r="E3369" s="280"/>
      <c r="F3369" s="463"/>
      <c r="G3369" s="282"/>
      <c r="H3369" s="282"/>
      <c r="I3369" s="416">
        <f>I3367</f>
        <v>10</v>
      </c>
      <c r="J3369" s="343" t="s">
        <v>42</v>
      </c>
      <c r="K3369" s="44"/>
      <c r="L3369" s="44"/>
      <c r="M3369" s="44"/>
      <c r="N3369" s="9"/>
      <c r="O3369" s="9"/>
      <c r="P3369" s="9"/>
      <c r="Q3369" s="9"/>
      <c r="R3369" s="9"/>
      <c r="S3369" s="9"/>
      <c r="T3369" s="9"/>
      <c r="U3369" s="9"/>
      <c r="V3369" s="9"/>
      <c r="W3369" s="9"/>
      <c r="X3369" s="9"/>
      <c r="Y3369" s="9"/>
      <c r="Z3369" s="9"/>
      <c r="AA3369" s="9"/>
      <c r="AB3369" s="9"/>
      <c r="AC3369" s="9"/>
      <c r="AD3369" s="9"/>
    </row>
    <row r="3370" spans="1:30" s="367" customFormat="1" ht="22.5" customHeight="1">
      <c r="A3370" s="395"/>
      <c r="B3370" s="396" t="s">
        <v>1435</v>
      </c>
      <c r="C3370" s="397"/>
      <c r="D3370" s="397"/>
      <c r="E3370" s="397"/>
      <c r="F3370" s="410"/>
      <c r="G3370" s="410"/>
      <c r="H3370" s="410"/>
      <c r="I3370" s="399"/>
      <c r="J3370" s="396"/>
    </row>
    <row r="3371" spans="1:30" s="367" customFormat="1" ht="22.5" customHeight="1">
      <c r="A3371" s="395"/>
      <c r="B3371" s="396" t="s">
        <v>1569</v>
      </c>
      <c r="C3371" s="397"/>
      <c r="D3371" s="397"/>
      <c r="E3371" s="397"/>
      <c r="F3371" s="410"/>
      <c r="G3371" s="410"/>
      <c r="H3371" s="410"/>
      <c r="I3371" s="399"/>
      <c r="J3371" s="396"/>
    </row>
    <row r="3372" spans="1:30" s="367" customFormat="1" ht="22.5" customHeight="1">
      <c r="A3372" s="395"/>
      <c r="B3372" s="401" t="s">
        <v>1439</v>
      </c>
      <c r="C3372" s="397">
        <v>10</v>
      </c>
      <c r="D3372" s="397">
        <v>2</v>
      </c>
      <c r="E3372" s="397">
        <v>10</v>
      </c>
      <c r="F3372" s="410">
        <v>3.07</v>
      </c>
      <c r="G3372" s="410">
        <v>0.45</v>
      </c>
      <c r="H3372" s="410" t="s">
        <v>26</v>
      </c>
      <c r="I3372" s="399">
        <f t="shared" ref="I3372:I3379" si="152">PRODUCT(C3372:H3372)</f>
        <v>276.3</v>
      </c>
      <c r="J3372" s="396"/>
    </row>
    <row r="3373" spans="1:30" s="367" customFormat="1" ht="22.5" customHeight="1">
      <c r="A3373" s="395"/>
      <c r="B3373" s="401" t="s">
        <v>1440</v>
      </c>
      <c r="C3373" s="397">
        <v>10</v>
      </c>
      <c r="D3373" s="397">
        <v>2</v>
      </c>
      <c r="E3373" s="397">
        <v>10</v>
      </c>
      <c r="F3373" s="410">
        <v>2.2599999999999998</v>
      </c>
      <c r="G3373" s="410">
        <v>0.45</v>
      </c>
      <c r="H3373" s="410" t="s">
        <v>26</v>
      </c>
      <c r="I3373" s="399">
        <f t="shared" si="152"/>
        <v>203.4</v>
      </c>
      <c r="J3373" s="396"/>
    </row>
    <row r="3374" spans="1:30" s="367" customFormat="1" ht="22.5" customHeight="1">
      <c r="A3374" s="395"/>
      <c r="B3374" s="401" t="s">
        <v>1436</v>
      </c>
      <c r="C3374" s="397">
        <v>10</v>
      </c>
      <c r="D3374" s="397">
        <v>2</v>
      </c>
      <c r="E3374" s="397">
        <v>10</v>
      </c>
      <c r="F3374" s="410">
        <v>1.96</v>
      </c>
      <c r="G3374" s="410">
        <v>0.45</v>
      </c>
      <c r="H3374" s="410" t="s">
        <v>26</v>
      </c>
      <c r="I3374" s="399">
        <f t="shared" si="152"/>
        <v>176.4</v>
      </c>
      <c r="J3374" s="396"/>
    </row>
    <row r="3375" spans="1:30" s="367" customFormat="1" ht="22.5" customHeight="1">
      <c r="A3375" s="395"/>
      <c r="B3375" s="401" t="s">
        <v>1441</v>
      </c>
      <c r="C3375" s="397">
        <v>10</v>
      </c>
      <c r="D3375" s="397">
        <v>2</v>
      </c>
      <c r="E3375" s="397">
        <v>2</v>
      </c>
      <c r="F3375" s="410">
        <v>2.2599999999999998</v>
      </c>
      <c r="G3375" s="410">
        <v>0.45</v>
      </c>
      <c r="H3375" s="410" t="s">
        <v>26</v>
      </c>
      <c r="I3375" s="399">
        <f t="shared" si="152"/>
        <v>40.68</v>
      </c>
      <c r="J3375" s="396"/>
    </row>
    <row r="3376" spans="1:30" s="367" customFormat="1" ht="22.5" customHeight="1">
      <c r="A3376" s="395"/>
      <c r="B3376" s="401" t="s">
        <v>1437</v>
      </c>
      <c r="C3376" s="397">
        <v>10</v>
      </c>
      <c r="D3376" s="397">
        <v>2</v>
      </c>
      <c r="E3376" s="397">
        <v>4</v>
      </c>
      <c r="F3376" s="410">
        <v>1.66</v>
      </c>
      <c r="G3376" s="410">
        <v>0.45</v>
      </c>
      <c r="H3376" s="410" t="s">
        <v>26</v>
      </c>
      <c r="I3376" s="399">
        <f t="shared" si="152"/>
        <v>59.76</v>
      </c>
      <c r="J3376" s="396"/>
    </row>
    <row r="3377" spans="1:30" s="367" customFormat="1" ht="22.5" customHeight="1">
      <c r="A3377" s="395"/>
      <c r="B3377" s="401" t="s">
        <v>812</v>
      </c>
      <c r="C3377" s="397">
        <v>10</v>
      </c>
      <c r="D3377" s="397">
        <v>2</v>
      </c>
      <c r="E3377" s="397">
        <v>2</v>
      </c>
      <c r="F3377" s="410">
        <v>2.5</v>
      </c>
      <c r="G3377" s="410">
        <v>1</v>
      </c>
      <c r="H3377" s="410" t="s">
        <v>26</v>
      </c>
      <c r="I3377" s="399">
        <f t="shared" si="152"/>
        <v>100</v>
      </c>
      <c r="J3377" s="396"/>
    </row>
    <row r="3378" spans="1:30" s="367" customFormat="1" ht="22.5" customHeight="1">
      <c r="A3378" s="395"/>
      <c r="B3378" s="401" t="s">
        <v>812</v>
      </c>
      <c r="C3378" s="397">
        <v>10</v>
      </c>
      <c r="D3378" s="397">
        <v>2</v>
      </c>
      <c r="E3378" s="397">
        <v>8</v>
      </c>
      <c r="F3378" s="410">
        <v>3.1</v>
      </c>
      <c r="G3378" s="410">
        <v>1</v>
      </c>
      <c r="H3378" s="410" t="s">
        <v>26</v>
      </c>
      <c r="I3378" s="399">
        <f t="shared" si="152"/>
        <v>496</v>
      </c>
      <c r="J3378" s="396"/>
    </row>
    <row r="3379" spans="1:30" s="367" customFormat="1" ht="22.5" customHeight="1">
      <c r="A3379" s="395"/>
      <c r="B3379" s="401" t="s">
        <v>1442</v>
      </c>
      <c r="C3379" s="397">
        <v>1</v>
      </c>
      <c r="D3379" s="397">
        <v>2</v>
      </c>
      <c r="E3379" s="397">
        <v>2</v>
      </c>
      <c r="F3379" s="410">
        <v>1.36</v>
      </c>
      <c r="G3379" s="410">
        <v>0.6</v>
      </c>
      <c r="H3379" s="410" t="s">
        <v>26</v>
      </c>
      <c r="I3379" s="399">
        <f t="shared" si="152"/>
        <v>3.26</v>
      </c>
      <c r="J3379" s="396"/>
    </row>
    <row r="3380" spans="1:30" s="367" customFormat="1" ht="22.5" customHeight="1">
      <c r="A3380" s="395"/>
      <c r="B3380" s="396" t="s">
        <v>500</v>
      </c>
      <c r="C3380" s="397"/>
      <c r="D3380" s="397"/>
      <c r="E3380" s="397"/>
      <c r="F3380" s="410"/>
      <c r="G3380" s="410"/>
      <c r="H3380" s="410"/>
      <c r="I3380" s="399"/>
      <c r="J3380" s="396"/>
    </row>
    <row r="3381" spans="1:30" s="367" customFormat="1" ht="22.5" customHeight="1">
      <c r="A3381" s="395"/>
      <c r="B3381" s="401" t="s">
        <v>1442</v>
      </c>
      <c r="C3381" s="397">
        <v>1</v>
      </c>
      <c r="D3381" s="397">
        <v>2</v>
      </c>
      <c r="E3381" s="397">
        <v>2</v>
      </c>
      <c r="F3381" s="410" t="s">
        <v>26</v>
      </c>
      <c r="G3381" s="410">
        <v>0.6</v>
      </c>
      <c r="H3381" s="410">
        <v>0.06</v>
      </c>
      <c r="I3381" s="399">
        <f t="shared" ref="I3381:I3386" si="153">PRODUCT(C3381:H3381)</f>
        <v>0.14000000000000001</v>
      </c>
      <c r="J3381" s="396"/>
    </row>
    <row r="3382" spans="1:30" s="367" customFormat="1" ht="22.5" customHeight="1">
      <c r="A3382" s="395"/>
      <c r="B3382" s="401" t="s">
        <v>1439</v>
      </c>
      <c r="C3382" s="397">
        <v>10</v>
      </c>
      <c r="D3382" s="397">
        <v>2</v>
      </c>
      <c r="E3382" s="397">
        <v>10</v>
      </c>
      <c r="F3382" s="410" t="s">
        <v>26</v>
      </c>
      <c r="G3382" s="410">
        <v>0.45</v>
      </c>
      <c r="H3382" s="410">
        <v>0.06</v>
      </c>
      <c r="I3382" s="399">
        <f t="shared" si="153"/>
        <v>5.4</v>
      </c>
      <c r="J3382" s="396"/>
    </row>
    <row r="3383" spans="1:30" s="367" customFormat="1" ht="22.5" customHeight="1">
      <c r="A3383" s="395"/>
      <c r="B3383" s="401" t="s">
        <v>1440</v>
      </c>
      <c r="C3383" s="397">
        <v>10</v>
      </c>
      <c r="D3383" s="397">
        <v>2</v>
      </c>
      <c r="E3383" s="397">
        <v>10</v>
      </c>
      <c r="F3383" s="410" t="s">
        <v>26</v>
      </c>
      <c r="G3383" s="410">
        <v>0.45</v>
      </c>
      <c r="H3383" s="410">
        <v>0.06</v>
      </c>
      <c r="I3383" s="399">
        <f t="shared" si="153"/>
        <v>5.4</v>
      </c>
      <c r="J3383" s="396"/>
    </row>
    <row r="3384" spans="1:30" s="367" customFormat="1" ht="22.5" customHeight="1">
      <c r="A3384" s="395"/>
      <c r="B3384" s="401" t="s">
        <v>1436</v>
      </c>
      <c r="C3384" s="397">
        <v>10</v>
      </c>
      <c r="D3384" s="397">
        <v>2</v>
      </c>
      <c r="E3384" s="397">
        <v>10</v>
      </c>
      <c r="F3384" s="410" t="s">
        <v>26</v>
      </c>
      <c r="G3384" s="410">
        <v>0.45</v>
      </c>
      <c r="H3384" s="410">
        <v>0.06</v>
      </c>
      <c r="I3384" s="399">
        <f t="shared" si="153"/>
        <v>5.4</v>
      </c>
      <c r="J3384" s="396"/>
    </row>
    <row r="3385" spans="1:30" s="367" customFormat="1" ht="22.5" customHeight="1">
      <c r="A3385" s="395"/>
      <c r="B3385" s="401" t="s">
        <v>1441</v>
      </c>
      <c r="C3385" s="397">
        <v>10</v>
      </c>
      <c r="D3385" s="397">
        <v>2</v>
      </c>
      <c r="E3385" s="397">
        <v>2</v>
      </c>
      <c r="F3385" s="410" t="s">
        <v>26</v>
      </c>
      <c r="G3385" s="410">
        <v>0.45</v>
      </c>
      <c r="H3385" s="410">
        <v>0.06</v>
      </c>
      <c r="I3385" s="399">
        <f t="shared" si="153"/>
        <v>1.08</v>
      </c>
      <c r="J3385" s="396"/>
    </row>
    <row r="3386" spans="1:30" s="367" customFormat="1" ht="22.5" customHeight="1">
      <c r="A3386" s="395"/>
      <c r="B3386" s="401" t="s">
        <v>1437</v>
      </c>
      <c r="C3386" s="397">
        <v>10</v>
      </c>
      <c r="D3386" s="397">
        <v>2</v>
      </c>
      <c r="E3386" s="397">
        <v>4</v>
      </c>
      <c r="F3386" s="410" t="s">
        <v>26</v>
      </c>
      <c r="G3386" s="410">
        <v>0.45</v>
      </c>
      <c r="H3386" s="410">
        <v>0.06</v>
      </c>
      <c r="I3386" s="399">
        <f t="shared" si="153"/>
        <v>2.16</v>
      </c>
      <c r="J3386" s="396"/>
    </row>
    <row r="3387" spans="1:30" s="62" customFormat="1" ht="23.25" customHeight="1">
      <c r="A3387" s="318"/>
      <c r="B3387" s="319" t="s">
        <v>282</v>
      </c>
      <c r="C3387" s="320"/>
      <c r="D3387" s="320"/>
      <c r="E3387" s="320"/>
      <c r="F3387" s="321"/>
      <c r="G3387" s="321"/>
      <c r="H3387" s="321"/>
      <c r="I3387" s="318"/>
      <c r="J3387" s="322"/>
      <c r="K3387" s="63"/>
      <c r="L3387" s="63"/>
      <c r="M3387" s="63"/>
      <c r="N3387" s="63"/>
      <c r="O3387" s="63"/>
      <c r="P3387" s="63"/>
      <c r="Q3387" s="63"/>
      <c r="R3387" s="63"/>
      <c r="S3387" s="63"/>
      <c r="T3387" s="63"/>
      <c r="U3387" s="63"/>
      <c r="V3387" s="63"/>
      <c r="W3387" s="63"/>
      <c r="X3387" s="63"/>
      <c r="Y3387" s="63"/>
      <c r="Z3387" s="63"/>
      <c r="AA3387" s="63"/>
      <c r="AB3387" s="63"/>
      <c r="AC3387" s="63"/>
      <c r="AD3387" s="63"/>
    </row>
    <row r="3388" spans="1:30" s="64" customFormat="1" ht="21.75" customHeight="1">
      <c r="A3388" s="307"/>
      <c r="B3388" s="293" t="s">
        <v>281</v>
      </c>
      <c r="C3388" s="307">
        <v>1</v>
      </c>
      <c r="D3388" s="307">
        <v>1</v>
      </c>
      <c r="E3388" s="307">
        <v>1</v>
      </c>
      <c r="F3388" s="317">
        <v>224.08799999999999</v>
      </c>
      <c r="G3388" s="307"/>
      <c r="H3388" s="308">
        <v>1.5</v>
      </c>
      <c r="I3388" s="323">
        <f t="shared" ref="I3388:I3397" si="154">PRODUCT(C3388:H3388)</f>
        <v>336.13</v>
      </c>
      <c r="J3388" s="322"/>
      <c r="K3388" s="65"/>
      <c r="L3388" s="65"/>
      <c r="M3388" s="65"/>
      <c r="N3388" s="83">
        <f>1.43+1.215+7.465+5.465+2.36+2.2+0.514+1.184+6.53+1.215+1.43+11.73+1.43+1.215+6.53+1.184+0.514+1.7+2.36+5.465+7.465+1.215+61.43+11.73+1.43+1.215+7.465+5.465+2.36+1.85+0.62+1.184+6.53+1.215+1.43+11.73+1.43+1.215+6.53+1.184+2.28+1.724+0.415+7.465+1.215+1.43+11.73</f>
        <v>224.08799999999999</v>
      </c>
      <c r="O3388" s="65"/>
      <c r="P3388" s="65"/>
      <c r="Q3388" s="65"/>
      <c r="R3388" s="65"/>
      <c r="S3388" s="65"/>
      <c r="T3388" s="65"/>
      <c r="U3388" s="65"/>
      <c r="V3388" s="65"/>
      <c r="W3388" s="65"/>
      <c r="X3388" s="65"/>
      <c r="Y3388" s="65"/>
      <c r="Z3388" s="65"/>
      <c r="AA3388" s="65"/>
      <c r="AB3388" s="65"/>
      <c r="AC3388" s="65"/>
      <c r="AD3388" s="65"/>
    </row>
    <row r="3389" spans="1:30" s="81" customFormat="1" ht="23.25" customHeight="1">
      <c r="A3389" s="294"/>
      <c r="B3389" s="293" t="s">
        <v>280</v>
      </c>
      <c r="C3389" s="307">
        <v>1</v>
      </c>
      <c r="D3389" s="307">
        <v>2</v>
      </c>
      <c r="E3389" s="307">
        <v>1</v>
      </c>
      <c r="F3389" s="308">
        <v>9</v>
      </c>
      <c r="G3389" s="317"/>
      <c r="H3389" s="317">
        <v>33</v>
      </c>
      <c r="I3389" s="323">
        <f t="shared" si="154"/>
        <v>594</v>
      </c>
      <c r="J3389" s="294"/>
      <c r="K3389" s="54"/>
      <c r="L3389" s="54"/>
      <c r="M3389" s="54"/>
      <c r="N3389" s="82">
        <f>2.6+1.9+2.6+1.9</f>
        <v>9</v>
      </c>
      <c r="O3389" s="81">
        <f>15*2.85</f>
        <v>42.75</v>
      </c>
      <c r="P3389" s="81">
        <f>O3389+1.5+2.1</f>
        <v>46.35</v>
      </c>
    </row>
    <row r="3390" spans="1:30" s="81" customFormat="1" ht="23.25" customHeight="1">
      <c r="A3390" s="294"/>
      <c r="B3390" s="293" t="s">
        <v>277</v>
      </c>
      <c r="C3390" s="307">
        <v>-14</v>
      </c>
      <c r="D3390" s="307">
        <v>2</v>
      </c>
      <c r="E3390" s="307">
        <v>1</v>
      </c>
      <c r="F3390" s="308">
        <v>1</v>
      </c>
      <c r="G3390" s="317"/>
      <c r="H3390" s="317">
        <v>2.1</v>
      </c>
      <c r="I3390" s="323">
        <f t="shared" si="154"/>
        <v>-58.8</v>
      </c>
      <c r="J3390" s="294"/>
      <c r="K3390" s="54"/>
      <c r="L3390" s="54"/>
      <c r="M3390" s="54"/>
    </row>
    <row r="3391" spans="1:30" s="81" customFormat="1" ht="23.25" customHeight="1">
      <c r="A3391" s="294"/>
      <c r="B3391" s="293" t="s">
        <v>276</v>
      </c>
      <c r="C3391" s="307">
        <v>-1</v>
      </c>
      <c r="D3391" s="307">
        <v>2</v>
      </c>
      <c r="E3391" s="307">
        <v>1</v>
      </c>
      <c r="F3391" s="308">
        <v>0.6</v>
      </c>
      <c r="G3391" s="317"/>
      <c r="H3391" s="317">
        <v>0.6</v>
      </c>
      <c r="I3391" s="323">
        <f t="shared" si="154"/>
        <v>-0.72</v>
      </c>
      <c r="J3391" s="294"/>
      <c r="K3391" s="54"/>
      <c r="L3391" s="54"/>
      <c r="M3391" s="54"/>
    </row>
    <row r="3392" spans="1:30" s="81" customFormat="1" ht="23.25" customHeight="1">
      <c r="A3392" s="294"/>
      <c r="B3392" s="293" t="s">
        <v>279</v>
      </c>
      <c r="C3392" s="307">
        <v>1</v>
      </c>
      <c r="D3392" s="307">
        <v>2</v>
      </c>
      <c r="E3392" s="307">
        <v>1</v>
      </c>
      <c r="F3392" s="308">
        <v>2.6</v>
      </c>
      <c r="G3392" s="317">
        <v>1.9</v>
      </c>
      <c r="H3392" s="317"/>
      <c r="I3392" s="323">
        <f t="shared" si="154"/>
        <v>9.8800000000000008</v>
      </c>
      <c r="J3392" s="294"/>
      <c r="K3392" s="54"/>
      <c r="L3392" s="54"/>
      <c r="M3392" s="54"/>
    </row>
    <row r="3393" spans="1:30" s="81" customFormat="1" ht="23.25" customHeight="1">
      <c r="A3393" s="294"/>
      <c r="B3393" s="293" t="s">
        <v>278</v>
      </c>
      <c r="C3393" s="307">
        <v>1</v>
      </c>
      <c r="D3393" s="307">
        <v>1</v>
      </c>
      <c r="E3393" s="307">
        <v>1</v>
      </c>
      <c r="F3393" s="308">
        <v>10.6</v>
      </c>
      <c r="G3393" s="317"/>
      <c r="H3393" s="317">
        <v>33</v>
      </c>
      <c r="I3393" s="323">
        <f t="shared" si="154"/>
        <v>349.8</v>
      </c>
      <c r="J3393" s="294"/>
      <c r="K3393" s="54"/>
      <c r="L3393" s="54"/>
      <c r="M3393" s="54"/>
      <c r="N3393" s="81">
        <f>2.3+3+2.3+3</f>
        <v>10.6</v>
      </c>
    </row>
    <row r="3394" spans="1:30" s="81" customFormat="1" ht="23.25" customHeight="1">
      <c r="A3394" s="294"/>
      <c r="B3394" s="293" t="s">
        <v>277</v>
      </c>
      <c r="C3394" s="307">
        <v>-14</v>
      </c>
      <c r="D3394" s="307">
        <v>2</v>
      </c>
      <c r="E3394" s="307">
        <v>1</v>
      </c>
      <c r="F3394" s="308">
        <v>1.2</v>
      </c>
      <c r="G3394" s="317"/>
      <c r="H3394" s="317">
        <v>2.1</v>
      </c>
      <c r="I3394" s="323">
        <f t="shared" si="154"/>
        <v>-70.56</v>
      </c>
      <c r="J3394" s="294"/>
      <c r="K3394" s="54"/>
      <c r="L3394" s="54"/>
      <c r="M3394" s="54"/>
    </row>
    <row r="3395" spans="1:30" s="81" customFormat="1" ht="23.25" customHeight="1">
      <c r="A3395" s="294"/>
      <c r="B3395" s="293" t="s">
        <v>276</v>
      </c>
      <c r="C3395" s="307">
        <v>-1</v>
      </c>
      <c r="D3395" s="307">
        <v>1</v>
      </c>
      <c r="E3395" s="307">
        <v>1</v>
      </c>
      <c r="F3395" s="308">
        <v>0.6</v>
      </c>
      <c r="G3395" s="317"/>
      <c r="H3395" s="317">
        <v>0.6</v>
      </c>
      <c r="I3395" s="323">
        <f t="shared" si="154"/>
        <v>-0.36</v>
      </c>
      <c r="J3395" s="294"/>
      <c r="K3395" s="54"/>
      <c r="L3395" s="54"/>
      <c r="M3395" s="54"/>
    </row>
    <row r="3396" spans="1:30" s="62" customFormat="1" ht="19.5" customHeight="1">
      <c r="A3396" s="307"/>
      <c r="B3396" s="293" t="s">
        <v>275</v>
      </c>
      <c r="C3396" s="307">
        <v>1</v>
      </c>
      <c r="D3396" s="307">
        <v>1</v>
      </c>
      <c r="E3396" s="307">
        <v>1</v>
      </c>
      <c r="F3396" s="317">
        <v>1.6850000000000001</v>
      </c>
      <c r="G3396" s="308">
        <v>1.1499999999999999</v>
      </c>
      <c r="H3396" s="308"/>
      <c r="I3396" s="323">
        <f t="shared" si="154"/>
        <v>1.94</v>
      </c>
      <c r="J3396" s="322"/>
      <c r="K3396" s="63"/>
      <c r="L3396" s="63"/>
      <c r="M3396" s="63"/>
      <c r="N3396" s="63"/>
      <c r="O3396" s="63"/>
      <c r="P3396" s="63"/>
      <c r="Q3396" s="63"/>
      <c r="R3396" s="63"/>
      <c r="S3396" s="63"/>
      <c r="T3396" s="63"/>
      <c r="U3396" s="63"/>
      <c r="V3396" s="63"/>
      <c r="W3396" s="63"/>
      <c r="X3396" s="63"/>
      <c r="Y3396" s="63"/>
      <c r="Z3396" s="63"/>
      <c r="AA3396" s="63"/>
      <c r="AB3396" s="63"/>
      <c r="AC3396" s="63"/>
      <c r="AD3396" s="63"/>
    </row>
    <row r="3397" spans="1:30" s="62" customFormat="1" ht="21.75" customHeight="1">
      <c r="A3397" s="307"/>
      <c r="B3397" s="293" t="s">
        <v>274</v>
      </c>
      <c r="C3397" s="307">
        <v>1</v>
      </c>
      <c r="D3397" s="307">
        <v>1</v>
      </c>
      <c r="E3397" s="307">
        <v>1</v>
      </c>
      <c r="F3397" s="317">
        <v>0.8</v>
      </c>
      <c r="G3397" s="308">
        <v>1.1499999999999999</v>
      </c>
      <c r="H3397" s="308"/>
      <c r="I3397" s="323">
        <f t="shared" si="154"/>
        <v>0.92</v>
      </c>
      <c r="J3397" s="322"/>
      <c r="K3397" s="63"/>
      <c r="L3397" s="63"/>
      <c r="M3397" s="63"/>
      <c r="N3397" s="63"/>
      <c r="O3397" s="63"/>
      <c r="P3397" s="63"/>
      <c r="Q3397" s="63"/>
      <c r="R3397" s="63"/>
      <c r="S3397" s="63"/>
      <c r="T3397" s="63"/>
      <c r="U3397" s="63"/>
      <c r="V3397" s="63"/>
      <c r="W3397" s="63"/>
      <c r="X3397" s="63"/>
      <c r="Y3397" s="63"/>
      <c r="Z3397" s="63"/>
      <c r="AA3397" s="63"/>
      <c r="AB3397" s="63"/>
      <c r="AC3397" s="63"/>
      <c r="AD3397" s="63"/>
    </row>
    <row r="3398" spans="1:30" s="33" customFormat="1" ht="23.25" customHeight="1">
      <c r="A3398" s="278"/>
      <c r="B3398" s="480"/>
      <c r="C3398" s="481"/>
      <c r="D3398" s="294"/>
      <c r="E3398" s="369"/>
      <c r="F3398" s="295"/>
      <c r="G3398" s="599"/>
      <c r="H3398" s="600"/>
      <c r="I3398" s="416">
        <f>SUM(I3343:I3397)</f>
        <v>2677.61</v>
      </c>
      <c r="J3398" s="343" t="s">
        <v>42</v>
      </c>
      <c r="K3398" s="44"/>
      <c r="L3398" s="44"/>
      <c r="M3398" s="44"/>
      <c r="N3398" s="34"/>
      <c r="O3398" s="34"/>
      <c r="P3398" s="34"/>
      <c r="Q3398" s="34"/>
      <c r="R3398" s="34"/>
      <c r="S3398" s="34"/>
      <c r="T3398" s="34"/>
      <c r="U3398" s="34"/>
      <c r="V3398" s="34"/>
      <c r="W3398" s="34"/>
      <c r="X3398" s="34"/>
      <c r="Y3398" s="34"/>
      <c r="Z3398" s="34"/>
      <c r="AA3398" s="34"/>
      <c r="AB3398" s="34"/>
      <c r="AC3398" s="34"/>
      <c r="AD3398" s="34"/>
    </row>
    <row r="3399" spans="1:30" s="33" customFormat="1" ht="23.25" customHeight="1">
      <c r="A3399" s="278"/>
      <c r="B3399" s="480"/>
      <c r="C3399" s="481"/>
      <c r="D3399" s="294"/>
      <c r="E3399" s="369"/>
      <c r="F3399" s="295"/>
      <c r="G3399" s="599" t="s">
        <v>273</v>
      </c>
      <c r="H3399" s="600"/>
      <c r="I3399" s="416">
        <f>SUM(I3398+I3369+I3367+I3365+I3363+I3361+I3359+I3357+I3355+I3353+I3351+I3349+I3347+I3345+I3343)</f>
        <v>2817.61</v>
      </c>
      <c r="J3399" s="343" t="s">
        <v>42</v>
      </c>
      <c r="K3399" s="44"/>
      <c r="L3399" s="44"/>
      <c r="M3399" s="44"/>
      <c r="N3399" s="34"/>
      <c r="O3399" s="34"/>
      <c r="P3399" s="34"/>
      <c r="Q3399" s="34"/>
      <c r="R3399" s="34"/>
      <c r="S3399" s="34"/>
      <c r="T3399" s="34"/>
      <c r="U3399" s="34"/>
      <c r="V3399" s="34"/>
      <c r="W3399" s="34"/>
      <c r="X3399" s="34"/>
      <c r="Y3399" s="34"/>
      <c r="Z3399" s="34"/>
      <c r="AA3399" s="34"/>
      <c r="AB3399" s="34"/>
      <c r="AC3399" s="34"/>
      <c r="AD3399" s="34"/>
    </row>
    <row r="3400" spans="1:30" s="5" customFormat="1" ht="23.25" customHeight="1">
      <c r="A3400" s="289"/>
      <c r="B3400" s="342"/>
      <c r="C3400" s="346"/>
      <c r="D3400" s="280"/>
      <c r="E3400" s="346"/>
      <c r="F3400" s="337"/>
      <c r="G3400" s="591" t="s">
        <v>41</v>
      </c>
      <c r="H3400" s="592"/>
      <c r="I3400" s="347">
        <f>I3338+I3399</f>
        <v>13519.6</v>
      </c>
      <c r="J3400" s="284" t="s">
        <v>42</v>
      </c>
      <c r="K3400" s="43"/>
      <c r="L3400" s="43"/>
      <c r="M3400" s="43"/>
      <c r="N3400" s="7"/>
      <c r="O3400" s="7"/>
      <c r="P3400" s="7"/>
      <c r="Q3400" s="7"/>
      <c r="R3400" s="7"/>
      <c r="S3400" s="7"/>
      <c r="T3400" s="7"/>
      <c r="U3400" s="7"/>
      <c r="V3400" s="7"/>
      <c r="W3400" s="7"/>
      <c r="X3400" s="7"/>
      <c r="Y3400" s="7"/>
      <c r="Z3400" s="7"/>
      <c r="AA3400" s="7"/>
      <c r="AB3400" s="7"/>
      <c r="AC3400" s="7"/>
      <c r="AD3400" s="7"/>
    </row>
    <row r="3401" spans="1:30" s="5" customFormat="1" ht="23.25" customHeight="1">
      <c r="A3401" s="289"/>
      <c r="B3401" s="342"/>
      <c r="C3401" s="346"/>
      <c r="D3401" s="280"/>
      <c r="E3401" s="346"/>
      <c r="F3401" s="337"/>
      <c r="G3401" s="607" t="s">
        <v>54</v>
      </c>
      <c r="H3401" s="608"/>
      <c r="I3401" s="416">
        <f>ROUNDUP(I3400,0)</f>
        <v>13520</v>
      </c>
      <c r="J3401" s="284" t="s">
        <v>42</v>
      </c>
      <c r="K3401" s="43"/>
      <c r="L3401" s="43"/>
      <c r="M3401" s="43"/>
      <c r="N3401" s="7"/>
      <c r="O3401" s="7"/>
      <c r="P3401" s="7"/>
      <c r="Q3401" s="7"/>
      <c r="R3401" s="7"/>
      <c r="S3401" s="7"/>
      <c r="T3401" s="7"/>
      <c r="U3401" s="7"/>
      <c r="V3401" s="7"/>
      <c r="W3401" s="7"/>
      <c r="X3401" s="7"/>
      <c r="Y3401" s="7"/>
      <c r="Z3401" s="7"/>
      <c r="AA3401" s="7"/>
      <c r="AB3401" s="7"/>
      <c r="AC3401" s="7"/>
      <c r="AD3401" s="7"/>
    </row>
    <row r="3402" spans="1:30" s="73" customFormat="1" ht="23.25" customHeight="1">
      <c r="A3402" s="288"/>
      <c r="B3402" s="279"/>
      <c r="C3402" s="280"/>
      <c r="D3402" s="280"/>
      <c r="E3402" s="280"/>
      <c r="F3402" s="282"/>
      <c r="G3402" s="416"/>
      <c r="H3402" s="417"/>
      <c r="I3402" s="416"/>
      <c r="J3402" s="287"/>
      <c r="K3402" s="42"/>
      <c r="L3402" s="42"/>
      <c r="M3402" s="42"/>
      <c r="N3402" s="74"/>
      <c r="O3402" s="74"/>
      <c r="P3402" s="74"/>
      <c r="Q3402" s="74"/>
      <c r="R3402" s="74"/>
      <c r="S3402" s="74"/>
      <c r="T3402" s="74"/>
      <c r="U3402" s="74"/>
      <c r="V3402" s="74"/>
      <c r="W3402" s="74"/>
      <c r="X3402" s="74"/>
      <c r="Y3402" s="74"/>
      <c r="Z3402" s="74"/>
      <c r="AA3402" s="74"/>
      <c r="AB3402" s="74"/>
      <c r="AC3402" s="74"/>
      <c r="AD3402" s="74"/>
    </row>
    <row r="3403" spans="1:30" s="8" customFormat="1" ht="23.25" customHeight="1">
      <c r="A3403" s="541"/>
      <c r="B3403" s="485"/>
      <c r="C3403" s="475"/>
      <c r="D3403" s="475"/>
      <c r="E3403" s="475"/>
      <c r="F3403" s="476"/>
      <c r="G3403" s="487"/>
      <c r="H3403" s="542"/>
      <c r="I3403" s="487"/>
      <c r="J3403" s="543"/>
      <c r="K3403" s="61"/>
      <c r="L3403" s="61"/>
      <c r="M3403" s="61"/>
      <c r="N3403" s="60"/>
      <c r="O3403" s="60"/>
      <c r="P3403" s="60"/>
      <c r="Q3403" s="60"/>
      <c r="R3403" s="60"/>
      <c r="S3403" s="60"/>
      <c r="T3403" s="60"/>
      <c r="U3403" s="60"/>
      <c r="V3403" s="60"/>
      <c r="W3403" s="60"/>
      <c r="X3403" s="60"/>
      <c r="Y3403" s="60"/>
      <c r="Z3403" s="60"/>
      <c r="AA3403" s="60"/>
      <c r="AB3403" s="60"/>
      <c r="AC3403" s="60"/>
      <c r="AD3403" s="60"/>
    </row>
    <row r="3404" spans="1:30" s="45" customFormat="1" ht="36.75" customHeight="1">
      <c r="A3404" s="544">
        <v>43.1</v>
      </c>
      <c r="B3404" s="319" t="s">
        <v>209</v>
      </c>
      <c r="C3404" s="491"/>
      <c r="D3404" s="280"/>
      <c r="E3404" s="491"/>
      <c r="F3404" s="337"/>
      <c r="G3404" s="337"/>
      <c r="H3404" s="337"/>
      <c r="I3404" s="339"/>
      <c r="J3404" s="278"/>
      <c r="K3404" s="46"/>
      <c r="L3404" s="46"/>
      <c r="M3404" s="46"/>
    </row>
    <row r="3405" spans="1:30" s="45" customFormat="1" ht="21.75" customHeight="1">
      <c r="A3405" s="340"/>
      <c r="B3405" s="293" t="s">
        <v>208</v>
      </c>
      <c r="C3405" s="491"/>
      <c r="D3405" s="280"/>
      <c r="E3405" s="491"/>
      <c r="F3405" s="337"/>
      <c r="G3405" s="545"/>
      <c r="H3405" s="546" t="s">
        <v>8</v>
      </c>
      <c r="I3405" s="283"/>
      <c r="J3405" s="278"/>
      <c r="K3405" s="46"/>
      <c r="L3405" s="46"/>
      <c r="M3405" s="46"/>
    </row>
    <row r="3406" spans="1:30" s="45" customFormat="1" ht="21.75" customHeight="1">
      <c r="A3406" s="340"/>
      <c r="B3406" s="293" t="s">
        <v>207</v>
      </c>
      <c r="C3406" s="493">
        <v>1</v>
      </c>
      <c r="D3406" s="280">
        <v>1</v>
      </c>
      <c r="E3406" s="493">
        <v>1</v>
      </c>
      <c r="F3406" s="347">
        <f>I131</f>
        <v>76.2</v>
      </c>
      <c r="G3406" s="607">
        <v>120</v>
      </c>
      <c r="H3406" s="608"/>
      <c r="I3406" s="323">
        <f>PRODUCT(C3406:G3406)</f>
        <v>9144</v>
      </c>
      <c r="J3406" s="278"/>
      <c r="K3406" s="46"/>
      <c r="L3406" s="46"/>
      <c r="M3406" s="46"/>
    </row>
    <row r="3407" spans="1:30" s="45" customFormat="1" ht="35.25" customHeight="1">
      <c r="A3407" s="340"/>
      <c r="B3407" s="293" t="s">
        <v>206</v>
      </c>
      <c r="C3407" s="493">
        <v>1</v>
      </c>
      <c r="D3407" s="280">
        <v>1</v>
      </c>
      <c r="E3407" s="493">
        <v>1</v>
      </c>
      <c r="F3407" s="283">
        <f>I304+I414+I547+I549+I551+I553+I555+I557+I559+I561+I563+I580+I623</f>
        <v>4236.6000000000004</v>
      </c>
      <c r="G3407" s="587">
        <v>120</v>
      </c>
      <c r="H3407" s="588"/>
      <c r="I3407" s="323">
        <f>PRODUCT(C3407:G3407)</f>
        <v>508392</v>
      </c>
      <c r="J3407" s="278"/>
      <c r="K3407" s="46"/>
      <c r="L3407" s="46"/>
      <c r="M3407" s="46"/>
      <c r="N3407" s="45">
        <f>6468*3.14*0.45*0.45</f>
        <v>4112.6778000000004</v>
      </c>
      <c r="O3407" s="45">
        <f>N3407/4</f>
        <v>1028.1694500000001</v>
      </c>
      <c r="P3407" s="45">
        <f>O3407*6468</f>
        <v>6650200.0026000002</v>
      </c>
    </row>
    <row r="3408" spans="1:30" s="45" customFormat="1" ht="23.25" customHeight="1">
      <c r="A3408" s="340"/>
      <c r="B3408" s="293"/>
      <c r="C3408" s="491"/>
      <c r="D3408" s="280"/>
      <c r="E3408" s="491"/>
      <c r="F3408" s="337"/>
      <c r="G3408" s="587" t="s">
        <v>60</v>
      </c>
      <c r="H3408" s="588"/>
      <c r="I3408" s="283">
        <f>SUM(I3406:I3407)</f>
        <v>517536</v>
      </c>
      <c r="J3408" s="278" t="s">
        <v>28</v>
      </c>
      <c r="K3408" s="46"/>
      <c r="L3408" s="46"/>
      <c r="M3408" s="46"/>
    </row>
    <row r="3409" spans="1:30" s="45" customFormat="1" ht="23.25" customHeight="1">
      <c r="A3409" s="340"/>
      <c r="B3409" s="534"/>
      <c r="C3409" s="491"/>
      <c r="D3409" s="280"/>
      <c r="E3409" s="491"/>
      <c r="F3409" s="337"/>
      <c r="G3409" s="595" t="s">
        <v>54</v>
      </c>
      <c r="H3409" s="596"/>
      <c r="I3409" s="547">
        <f>I3408/1000</f>
        <v>517.53599999999994</v>
      </c>
      <c r="J3409" s="288" t="s">
        <v>9</v>
      </c>
      <c r="K3409" s="47"/>
      <c r="L3409" s="47"/>
      <c r="M3409" s="47"/>
    </row>
    <row r="3410" spans="1:30" s="45" customFormat="1" ht="48" customHeight="1">
      <c r="A3410" s="288">
        <v>44.1</v>
      </c>
      <c r="B3410" s="319" t="s">
        <v>205</v>
      </c>
      <c r="C3410" s="280"/>
      <c r="D3410" s="280"/>
      <c r="E3410" s="280"/>
      <c r="F3410" s="282"/>
      <c r="G3410" s="415"/>
      <c r="H3410" s="415"/>
      <c r="I3410" s="416"/>
      <c r="J3410" s="278"/>
      <c r="K3410" s="46"/>
      <c r="L3410" s="46"/>
      <c r="M3410" s="46"/>
    </row>
    <row r="3411" spans="1:30" s="49" customFormat="1" ht="31.5" customHeight="1">
      <c r="A3411" s="294"/>
      <c r="B3411" s="293" t="s">
        <v>204</v>
      </c>
      <c r="C3411" s="294">
        <v>1</v>
      </c>
      <c r="D3411" s="294">
        <v>10</v>
      </c>
      <c r="E3411" s="294">
        <v>1</v>
      </c>
      <c r="F3411" s="295">
        <v>30</v>
      </c>
      <c r="G3411" s="295"/>
      <c r="H3411" s="295"/>
      <c r="I3411" s="323">
        <f t="shared" ref="I3411:I3418" si="155">PRODUCT(C3411:H3411)</f>
        <v>300</v>
      </c>
      <c r="J3411" s="294"/>
      <c r="K3411" s="50"/>
      <c r="L3411" s="50"/>
      <c r="M3411" s="50"/>
      <c r="N3411" s="50"/>
      <c r="O3411" s="50"/>
      <c r="P3411" s="50"/>
      <c r="Q3411" s="50"/>
      <c r="R3411" s="50"/>
      <c r="S3411" s="50"/>
      <c r="T3411" s="50"/>
      <c r="U3411" s="50"/>
      <c r="V3411" s="50"/>
      <c r="W3411" s="50"/>
      <c r="X3411" s="50"/>
      <c r="Y3411" s="50"/>
      <c r="Z3411" s="50"/>
      <c r="AA3411" s="50"/>
      <c r="AB3411" s="50"/>
      <c r="AC3411" s="50"/>
      <c r="AD3411" s="50"/>
    </row>
    <row r="3412" spans="1:30" s="49" customFormat="1" ht="21" customHeight="1">
      <c r="A3412" s="294"/>
      <c r="B3412" s="293" t="s">
        <v>203</v>
      </c>
      <c r="C3412" s="294">
        <v>1</v>
      </c>
      <c r="D3412" s="294">
        <v>1</v>
      </c>
      <c r="E3412" s="294">
        <v>2</v>
      </c>
      <c r="F3412" s="295">
        <v>30</v>
      </c>
      <c r="G3412" s="295"/>
      <c r="H3412" s="295"/>
      <c r="I3412" s="323">
        <f t="shared" si="155"/>
        <v>60</v>
      </c>
      <c r="J3412" s="294"/>
      <c r="K3412" s="50"/>
      <c r="L3412" s="50"/>
      <c r="M3412" s="50"/>
      <c r="N3412" s="50"/>
      <c r="O3412" s="50"/>
      <c r="P3412" s="50"/>
      <c r="Q3412" s="50"/>
      <c r="R3412" s="50"/>
      <c r="S3412" s="50"/>
      <c r="T3412" s="50"/>
      <c r="U3412" s="50"/>
      <c r="V3412" s="50"/>
      <c r="W3412" s="50"/>
      <c r="X3412" s="50"/>
      <c r="Y3412" s="50"/>
      <c r="Z3412" s="50"/>
      <c r="AA3412" s="50"/>
      <c r="AB3412" s="50"/>
      <c r="AC3412" s="50"/>
      <c r="AD3412" s="50"/>
    </row>
    <row r="3413" spans="1:30" s="49" customFormat="1" ht="21" customHeight="1">
      <c r="A3413" s="294"/>
      <c r="B3413" s="293" t="s">
        <v>201</v>
      </c>
      <c r="C3413" s="294">
        <v>1</v>
      </c>
      <c r="D3413" s="294">
        <v>14</v>
      </c>
      <c r="E3413" s="294">
        <v>2</v>
      </c>
      <c r="F3413" s="295">
        <v>0.8</v>
      </c>
      <c r="G3413" s="295"/>
      <c r="H3413" s="295"/>
      <c r="I3413" s="323">
        <f t="shared" si="155"/>
        <v>22.4</v>
      </c>
      <c r="J3413" s="294"/>
      <c r="K3413" s="50"/>
      <c r="L3413" s="50"/>
      <c r="M3413" s="50"/>
      <c r="N3413" s="50"/>
      <c r="O3413" s="50"/>
      <c r="P3413" s="50"/>
      <c r="Q3413" s="50"/>
      <c r="R3413" s="50"/>
      <c r="S3413" s="50"/>
      <c r="T3413" s="50"/>
      <c r="U3413" s="50"/>
      <c r="V3413" s="50"/>
      <c r="W3413" s="50"/>
      <c r="X3413" s="50"/>
      <c r="Y3413" s="50"/>
      <c r="Z3413" s="50"/>
      <c r="AA3413" s="50"/>
      <c r="AB3413" s="50"/>
      <c r="AC3413" s="50"/>
      <c r="AD3413" s="50"/>
    </row>
    <row r="3414" spans="1:30" s="49" customFormat="1" ht="21" customHeight="1">
      <c r="A3414" s="294"/>
      <c r="B3414" s="293" t="s">
        <v>202</v>
      </c>
      <c r="C3414" s="294">
        <v>1</v>
      </c>
      <c r="D3414" s="294">
        <v>1</v>
      </c>
      <c r="E3414" s="294">
        <v>1</v>
      </c>
      <c r="F3414" s="295">
        <v>45</v>
      </c>
      <c r="G3414" s="295"/>
      <c r="H3414" s="295"/>
      <c r="I3414" s="323">
        <f t="shared" si="155"/>
        <v>45</v>
      </c>
      <c r="J3414" s="294"/>
      <c r="K3414" s="50"/>
      <c r="L3414" s="50"/>
      <c r="M3414" s="50"/>
      <c r="N3414" s="50"/>
      <c r="O3414" s="50"/>
      <c r="P3414" s="50"/>
      <c r="Q3414" s="50"/>
      <c r="R3414" s="50"/>
      <c r="S3414" s="50"/>
      <c r="T3414" s="50"/>
      <c r="U3414" s="50"/>
      <c r="V3414" s="50"/>
      <c r="W3414" s="50"/>
      <c r="X3414" s="50"/>
      <c r="Y3414" s="50"/>
      <c r="Z3414" s="50"/>
      <c r="AA3414" s="50"/>
      <c r="AB3414" s="50"/>
      <c r="AC3414" s="50"/>
      <c r="AD3414" s="50"/>
    </row>
    <row r="3415" spans="1:30" s="49" customFormat="1" ht="21" customHeight="1">
      <c r="A3415" s="294"/>
      <c r="B3415" s="293" t="s">
        <v>201</v>
      </c>
      <c r="C3415" s="294">
        <v>1</v>
      </c>
      <c r="D3415" s="294">
        <v>14</v>
      </c>
      <c r="E3415" s="294">
        <v>1</v>
      </c>
      <c r="F3415" s="295">
        <v>0.8</v>
      </c>
      <c r="G3415" s="295"/>
      <c r="H3415" s="295"/>
      <c r="I3415" s="323">
        <f t="shared" si="155"/>
        <v>11.2</v>
      </c>
      <c r="J3415" s="294"/>
      <c r="K3415" s="50"/>
      <c r="L3415" s="50"/>
      <c r="M3415" s="50"/>
      <c r="N3415" s="50"/>
      <c r="O3415" s="50"/>
      <c r="P3415" s="50"/>
      <c r="Q3415" s="50"/>
      <c r="R3415" s="50"/>
      <c r="S3415" s="50"/>
      <c r="T3415" s="50"/>
      <c r="U3415" s="50"/>
      <c r="V3415" s="50"/>
      <c r="W3415" s="50"/>
      <c r="X3415" s="50"/>
      <c r="Y3415" s="50"/>
      <c r="Z3415" s="50"/>
      <c r="AA3415" s="50"/>
      <c r="AB3415" s="50"/>
      <c r="AC3415" s="50"/>
      <c r="AD3415" s="50"/>
    </row>
    <row r="3416" spans="1:30" s="49" customFormat="1" ht="22.5" customHeight="1">
      <c r="A3416" s="294"/>
      <c r="B3416" s="293" t="s">
        <v>145</v>
      </c>
      <c r="C3416" s="294">
        <v>1</v>
      </c>
      <c r="D3416" s="294">
        <v>1</v>
      </c>
      <c r="E3416" s="294">
        <v>3</v>
      </c>
      <c r="F3416" s="295">
        <v>1.3</v>
      </c>
      <c r="G3416" s="295"/>
      <c r="H3416" s="295"/>
      <c r="I3416" s="323">
        <f t="shared" si="155"/>
        <v>3.9</v>
      </c>
      <c r="J3416" s="294"/>
      <c r="K3416" s="50"/>
      <c r="L3416" s="50"/>
      <c r="M3416" s="50"/>
      <c r="N3416" s="50"/>
      <c r="O3416" s="50"/>
      <c r="P3416" s="50"/>
      <c r="Q3416" s="50"/>
      <c r="R3416" s="50"/>
      <c r="S3416" s="50"/>
      <c r="T3416" s="50"/>
      <c r="U3416" s="50"/>
      <c r="V3416" s="50"/>
      <c r="W3416" s="50"/>
      <c r="X3416" s="50"/>
      <c r="Y3416" s="50"/>
      <c r="Z3416" s="50"/>
      <c r="AA3416" s="50"/>
      <c r="AB3416" s="50"/>
      <c r="AC3416" s="50"/>
      <c r="AD3416" s="50"/>
    </row>
    <row r="3417" spans="1:30" s="49" customFormat="1" ht="22.5" customHeight="1">
      <c r="A3417" s="294"/>
      <c r="B3417" s="293" t="s">
        <v>200</v>
      </c>
      <c r="C3417" s="294">
        <v>1</v>
      </c>
      <c r="D3417" s="294">
        <v>1</v>
      </c>
      <c r="E3417" s="294">
        <v>3</v>
      </c>
      <c r="F3417" s="300">
        <v>2.4750000000000001</v>
      </c>
      <c r="G3417" s="295"/>
      <c r="H3417" s="295"/>
      <c r="I3417" s="323">
        <f t="shared" si="155"/>
        <v>7.43</v>
      </c>
      <c r="J3417" s="294"/>
      <c r="K3417" s="50"/>
      <c r="L3417" s="50"/>
      <c r="M3417" s="50"/>
      <c r="N3417" s="50"/>
      <c r="O3417" s="50"/>
      <c r="P3417" s="50"/>
      <c r="Q3417" s="50"/>
      <c r="R3417" s="50"/>
      <c r="S3417" s="50"/>
      <c r="T3417" s="50"/>
      <c r="U3417" s="50"/>
      <c r="V3417" s="50"/>
      <c r="W3417" s="50"/>
      <c r="X3417" s="50"/>
      <c r="Y3417" s="50"/>
      <c r="Z3417" s="50"/>
      <c r="AA3417" s="50"/>
      <c r="AB3417" s="50"/>
      <c r="AC3417" s="50"/>
      <c r="AD3417" s="50"/>
    </row>
    <row r="3418" spans="1:30" s="49" customFormat="1" ht="22.5" customHeight="1">
      <c r="A3418" s="294"/>
      <c r="B3418" s="293" t="s">
        <v>199</v>
      </c>
      <c r="C3418" s="294">
        <v>1</v>
      </c>
      <c r="D3418" s="294">
        <v>2</v>
      </c>
      <c r="E3418" s="294">
        <v>3</v>
      </c>
      <c r="F3418" s="295">
        <v>3.5</v>
      </c>
      <c r="G3418" s="295"/>
      <c r="H3418" s="295"/>
      <c r="I3418" s="323">
        <f t="shared" si="155"/>
        <v>21</v>
      </c>
      <c r="J3418" s="294"/>
      <c r="K3418" s="50"/>
      <c r="L3418" s="50"/>
      <c r="M3418" s="50"/>
      <c r="N3418" s="50"/>
      <c r="O3418" s="50"/>
      <c r="P3418" s="50"/>
      <c r="Q3418" s="50"/>
      <c r="R3418" s="50"/>
      <c r="S3418" s="50"/>
      <c r="T3418" s="50"/>
      <c r="U3418" s="50"/>
      <c r="V3418" s="50"/>
      <c r="W3418" s="50"/>
      <c r="X3418" s="50"/>
      <c r="Y3418" s="50"/>
      <c r="Z3418" s="50"/>
      <c r="AA3418" s="50"/>
      <c r="AB3418" s="50"/>
      <c r="AC3418" s="50"/>
      <c r="AD3418" s="50"/>
    </row>
    <row r="3419" spans="1:30" s="45" customFormat="1" ht="23.25" customHeight="1">
      <c r="A3419" s="278"/>
      <c r="B3419" s="279"/>
      <c r="C3419" s="280"/>
      <c r="D3419" s="280"/>
      <c r="E3419" s="280"/>
      <c r="F3419" s="282"/>
      <c r="G3419" s="415"/>
      <c r="H3419" s="415"/>
      <c r="I3419" s="416">
        <f>SUM(I3411:I3418)</f>
        <v>470.93</v>
      </c>
      <c r="J3419" s="288" t="s">
        <v>47</v>
      </c>
      <c r="K3419" s="47"/>
      <c r="L3419" s="47"/>
      <c r="M3419" s="47"/>
    </row>
    <row r="3420" spans="1:30" s="45" customFormat="1" ht="23.25" customHeight="1">
      <c r="A3420" s="278"/>
      <c r="B3420" s="279"/>
      <c r="C3420" s="280"/>
      <c r="D3420" s="280"/>
      <c r="E3420" s="280"/>
      <c r="F3420" s="282"/>
      <c r="G3420" s="415"/>
      <c r="H3420" s="415"/>
      <c r="I3420" s="416">
        <f>ROUNDUP(I3419,1)</f>
        <v>471</v>
      </c>
      <c r="J3420" s="288"/>
      <c r="K3420" s="47"/>
      <c r="L3420" s="47"/>
      <c r="M3420" s="47"/>
    </row>
    <row r="3421" spans="1:30" s="59" customFormat="1" ht="36" customHeight="1">
      <c r="A3421" s="288">
        <v>52.4</v>
      </c>
      <c r="B3421" s="286" t="s">
        <v>198</v>
      </c>
      <c r="C3421" s="280"/>
      <c r="D3421" s="280"/>
      <c r="E3421" s="280"/>
      <c r="F3421" s="282"/>
      <c r="G3421" s="282"/>
      <c r="H3421" s="282"/>
      <c r="I3421" s="283"/>
      <c r="J3421" s="278"/>
      <c r="K3421" s="46"/>
      <c r="L3421" s="46"/>
      <c r="M3421" s="46"/>
    </row>
    <row r="3422" spans="1:30" s="59" customFormat="1" ht="21.75" customHeight="1">
      <c r="A3422" s="288"/>
      <c r="B3422" s="279" t="s">
        <v>197</v>
      </c>
      <c r="C3422" s="280">
        <v>1</v>
      </c>
      <c r="D3422" s="548">
        <v>1</v>
      </c>
      <c r="E3422" s="280">
        <v>2</v>
      </c>
      <c r="F3422" s="282">
        <v>5.51</v>
      </c>
      <c r="G3422" s="282"/>
      <c r="H3422" s="282"/>
      <c r="I3422" s="323">
        <f>PRODUCT(C3422:H3422)</f>
        <v>11.02</v>
      </c>
      <c r="J3422" s="278"/>
      <c r="K3422" s="46"/>
      <c r="L3422" s="46"/>
      <c r="M3422" s="46"/>
      <c r="N3422" s="59">
        <f>2.1+1.315+2.1</f>
        <v>5.5149999999999997</v>
      </c>
    </row>
    <row r="3423" spans="1:30" s="49" customFormat="1" ht="30" customHeight="1">
      <c r="A3423" s="294"/>
      <c r="B3423" s="293" t="s">
        <v>196</v>
      </c>
      <c r="C3423" s="294">
        <v>1</v>
      </c>
      <c r="D3423" s="309">
        <v>1</v>
      </c>
      <c r="E3423" s="294">
        <v>100</v>
      </c>
      <c r="F3423" s="295">
        <v>15</v>
      </c>
      <c r="G3423" s="295"/>
      <c r="H3423" s="295"/>
      <c r="I3423" s="323">
        <f>PRODUCT(C3423:H3423)</f>
        <v>1500</v>
      </c>
      <c r="J3423" s="294"/>
      <c r="K3423" s="50"/>
      <c r="L3423" s="50"/>
      <c r="M3423" s="50"/>
      <c r="N3423" s="50"/>
      <c r="O3423" s="50"/>
      <c r="P3423" s="50"/>
      <c r="Q3423" s="50"/>
      <c r="R3423" s="50"/>
      <c r="S3423" s="50"/>
      <c r="T3423" s="50"/>
      <c r="U3423" s="50"/>
      <c r="V3423" s="50"/>
      <c r="W3423" s="50"/>
      <c r="X3423" s="50"/>
      <c r="Y3423" s="50"/>
      <c r="Z3423" s="50"/>
      <c r="AA3423" s="50"/>
      <c r="AB3423" s="50"/>
      <c r="AC3423" s="50"/>
      <c r="AD3423" s="50"/>
    </row>
    <row r="3424" spans="1:30" s="59" customFormat="1" ht="23.25" customHeight="1">
      <c r="A3424" s="278"/>
      <c r="B3424" s="279"/>
      <c r="C3424" s="280"/>
      <c r="D3424" s="280"/>
      <c r="E3424" s="280"/>
      <c r="F3424" s="282"/>
      <c r="G3424" s="415" t="s">
        <v>41</v>
      </c>
      <c r="H3424" s="282"/>
      <c r="I3424" s="416">
        <f>SUM(I3422:I3423)</f>
        <v>1511.02</v>
      </c>
      <c r="J3424" s="288" t="s">
        <v>47</v>
      </c>
      <c r="K3424" s="47"/>
      <c r="L3424" s="47"/>
      <c r="M3424" s="47"/>
      <c r="N3424" s="59">
        <v>18670.560000000001</v>
      </c>
      <c r="O3424" s="59">
        <f>N3424/1036</f>
        <v>18.021776061776102</v>
      </c>
      <c r="P3424" s="59">
        <f>O3424*112</f>
        <v>2018.4389189189201</v>
      </c>
    </row>
    <row r="3425" spans="1:30" s="59" customFormat="1" ht="23.25" customHeight="1">
      <c r="A3425" s="278"/>
      <c r="B3425" s="279"/>
      <c r="C3425" s="280"/>
      <c r="D3425" s="280"/>
      <c r="E3425" s="280"/>
      <c r="F3425" s="282"/>
      <c r="G3425" s="415"/>
      <c r="H3425" s="282"/>
      <c r="I3425" s="416">
        <f>ROUNDUP(I3424,1)</f>
        <v>1511.1</v>
      </c>
      <c r="J3425" s="288"/>
      <c r="K3425" s="47"/>
      <c r="L3425" s="47"/>
      <c r="M3425" s="47"/>
    </row>
    <row r="3426" spans="1:30" s="45" customFormat="1" ht="37.5" customHeight="1">
      <c r="A3426" s="288">
        <v>53.5</v>
      </c>
      <c r="B3426" s="286" t="s">
        <v>195</v>
      </c>
      <c r="C3426" s="280"/>
      <c r="D3426" s="280"/>
      <c r="E3426" s="280"/>
      <c r="F3426" s="282"/>
      <c r="G3426" s="282"/>
      <c r="H3426" s="415"/>
      <c r="I3426" s="283"/>
      <c r="J3426" s="278"/>
      <c r="K3426" s="46"/>
      <c r="L3426" s="46"/>
      <c r="M3426" s="46"/>
    </row>
    <row r="3427" spans="1:30" s="45" customFormat="1" ht="23.25" customHeight="1">
      <c r="A3427" s="278"/>
      <c r="B3427" s="279" t="s">
        <v>194</v>
      </c>
      <c r="C3427" s="280">
        <v>1</v>
      </c>
      <c r="D3427" s="280">
        <v>1</v>
      </c>
      <c r="E3427" s="280">
        <v>2</v>
      </c>
      <c r="F3427" s="282"/>
      <c r="G3427" s="282"/>
      <c r="H3427" s="282"/>
      <c r="I3427" s="323">
        <f>PRODUCT(C3427:H3427)</f>
        <v>2</v>
      </c>
      <c r="J3427" s="278"/>
      <c r="K3427" s="46"/>
      <c r="L3427" s="46"/>
      <c r="M3427" s="46"/>
    </row>
    <row r="3428" spans="1:30" s="45" customFormat="1" ht="23.25" customHeight="1">
      <c r="A3428" s="278"/>
      <c r="B3428" s="279" t="s">
        <v>987</v>
      </c>
      <c r="C3428" s="280">
        <v>100</v>
      </c>
      <c r="D3428" s="280">
        <v>2</v>
      </c>
      <c r="E3428" s="280">
        <v>1</v>
      </c>
      <c r="F3428" s="282"/>
      <c r="G3428" s="282"/>
      <c r="H3428" s="282"/>
      <c r="I3428" s="323">
        <f>PRODUCT(C3428:H3428)</f>
        <v>200</v>
      </c>
      <c r="J3428" s="278"/>
      <c r="K3428" s="46"/>
      <c r="L3428" s="46"/>
      <c r="M3428" s="46"/>
    </row>
    <row r="3429" spans="1:30" s="45" customFormat="1" ht="23.25" customHeight="1">
      <c r="A3429" s="278"/>
      <c r="B3429" s="279"/>
      <c r="C3429" s="280"/>
      <c r="D3429" s="280"/>
      <c r="E3429" s="280"/>
      <c r="F3429" s="282"/>
      <c r="G3429" s="415" t="s">
        <v>41</v>
      </c>
      <c r="H3429" s="282"/>
      <c r="I3429" s="416">
        <f>SUM(I3427:I3428)</f>
        <v>202</v>
      </c>
      <c r="J3429" s="288" t="s">
        <v>23</v>
      </c>
      <c r="K3429" s="47"/>
      <c r="L3429" s="47"/>
      <c r="M3429" s="47"/>
    </row>
    <row r="3430" spans="1:30" s="45" customFormat="1" ht="48.75" customHeight="1">
      <c r="A3430" s="278"/>
      <c r="B3430" s="286"/>
      <c r="C3430" s="280"/>
      <c r="D3430" s="280"/>
      <c r="E3430" s="280"/>
      <c r="F3430" s="282"/>
      <c r="G3430" s="415"/>
      <c r="H3430" s="282"/>
      <c r="I3430" s="283"/>
      <c r="J3430" s="278"/>
      <c r="K3430" s="46"/>
      <c r="L3430" s="46"/>
      <c r="M3430" s="46"/>
    </row>
    <row r="3431" spans="1:30" s="58" customFormat="1" ht="19.5" customHeight="1">
      <c r="A3431" s="473"/>
      <c r="B3431" s="485"/>
      <c r="C3431" s="475"/>
      <c r="D3431" s="475"/>
      <c r="E3431" s="475"/>
      <c r="F3431" s="476"/>
      <c r="G3431" s="486"/>
      <c r="H3431" s="476"/>
      <c r="I3431" s="416"/>
      <c r="J3431" s="288"/>
      <c r="K3431" s="47"/>
      <c r="L3431" s="47"/>
      <c r="M3431" s="47"/>
    </row>
    <row r="3432" spans="1:30" s="2" customFormat="1" ht="34.5" customHeight="1">
      <c r="A3432" s="278">
        <v>58.3</v>
      </c>
      <c r="B3432" s="286" t="s">
        <v>193</v>
      </c>
      <c r="C3432" s="280"/>
      <c r="D3432" s="280"/>
      <c r="E3432" s="280"/>
      <c r="F3432" s="282"/>
      <c r="G3432" s="282"/>
      <c r="H3432" s="282"/>
      <c r="I3432" s="416"/>
      <c r="J3432" s="284"/>
      <c r="K3432" s="43"/>
      <c r="L3432" s="43"/>
      <c r="M3432" s="43"/>
      <c r="N3432" s="9"/>
      <c r="O3432" s="9"/>
      <c r="P3432" s="9"/>
      <c r="Q3432" s="9"/>
      <c r="R3432" s="9"/>
      <c r="S3432" s="9"/>
      <c r="T3432" s="9"/>
      <c r="U3432" s="9"/>
      <c r="V3432" s="9"/>
      <c r="W3432" s="9"/>
      <c r="X3432" s="9"/>
      <c r="Y3432" s="9"/>
      <c r="Z3432" s="9"/>
      <c r="AA3432" s="9"/>
      <c r="AB3432" s="9"/>
      <c r="AC3432" s="9"/>
      <c r="AD3432" s="9"/>
    </row>
    <row r="3433" spans="1:30" s="33" customFormat="1" ht="19.5" customHeight="1">
      <c r="A3433" s="278"/>
      <c r="B3433" s="286" t="s">
        <v>192</v>
      </c>
      <c r="C3433" s="280"/>
      <c r="D3433" s="280"/>
      <c r="E3433" s="280"/>
      <c r="F3433" s="282"/>
      <c r="G3433" s="282"/>
      <c r="H3433" s="282"/>
      <c r="I3433" s="416"/>
      <c r="J3433" s="284"/>
      <c r="K3433" s="43"/>
      <c r="L3433" s="43"/>
      <c r="M3433" s="43"/>
      <c r="N3433" s="34"/>
      <c r="O3433" s="34"/>
      <c r="P3433" s="34"/>
      <c r="Q3433" s="34"/>
      <c r="R3433" s="34"/>
      <c r="S3433" s="34"/>
      <c r="T3433" s="34"/>
      <c r="U3433" s="34"/>
      <c r="V3433" s="34"/>
      <c r="W3433" s="34"/>
      <c r="X3433" s="34"/>
      <c r="Y3433" s="34"/>
      <c r="Z3433" s="34"/>
      <c r="AA3433" s="34"/>
      <c r="AB3433" s="34"/>
      <c r="AC3433" s="34"/>
      <c r="AD3433" s="34"/>
    </row>
    <row r="3434" spans="1:30" s="49" customFormat="1" ht="19.5" customHeight="1">
      <c r="A3434" s="294"/>
      <c r="B3434" s="319" t="s">
        <v>90</v>
      </c>
      <c r="C3434" s="294"/>
      <c r="D3434" s="294"/>
      <c r="E3434" s="294"/>
      <c r="F3434" s="295"/>
      <c r="G3434" s="295"/>
      <c r="H3434" s="295"/>
      <c r="I3434" s="323"/>
      <c r="J3434" s="294"/>
      <c r="K3434" s="50"/>
      <c r="L3434" s="50"/>
      <c r="M3434" s="50"/>
      <c r="N3434" s="50"/>
      <c r="O3434" s="50"/>
      <c r="P3434" s="50"/>
      <c r="Q3434" s="50"/>
      <c r="R3434" s="50"/>
      <c r="S3434" s="50"/>
      <c r="T3434" s="50"/>
      <c r="U3434" s="50"/>
      <c r="V3434" s="50"/>
      <c r="W3434" s="50"/>
      <c r="X3434" s="50"/>
      <c r="Y3434" s="50"/>
      <c r="Z3434" s="50"/>
      <c r="AA3434" s="50"/>
      <c r="AB3434" s="50"/>
      <c r="AC3434" s="50"/>
      <c r="AD3434" s="50"/>
    </row>
    <row r="3435" spans="1:30" s="49" customFormat="1" ht="23.25" customHeight="1">
      <c r="A3435" s="294"/>
      <c r="B3435" s="293" t="s">
        <v>1298</v>
      </c>
      <c r="C3435" s="294">
        <v>1</v>
      </c>
      <c r="D3435" s="294">
        <v>1</v>
      </c>
      <c r="E3435" s="294">
        <v>10</v>
      </c>
      <c r="F3435" s="295">
        <v>29</v>
      </c>
      <c r="G3435" s="295"/>
      <c r="H3435" s="295"/>
      <c r="I3435" s="323">
        <f>PRODUCT(C3435:H3435)</f>
        <v>290</v>
      </c>
      <c r="J3435" s="294"/>
      <c r="K3435" s="50">
        <f>2.85*15</f>
        <v>42.75</v>
      </c>
      <c r="L3435" s="50"/>
      <c r="M3435" s="50"/>
      <c r="N3435" s="50"/>
      <c r="O3435" s="50"/>
      <c r="P3435" s="50"/>
      <c r="Q3435" s="50"/>
      <c r="R3435" s="50"/>
      <c r="S3435" s="50"/>
      <c r="T3435" s="50"/>
      <c r="U3435" s="50"/>
      <c r="V3435" s="50"/>
      <c r="W3435" s="50"/>
      <c r="X3435" s="50"/>
      <c r="Y3435" s="50"/>
      <c r="Z3435" s="50"/>
      <c r="AA3435" s="50"/>
      <c r="AB3435" s="50"/>
      <c r="AC3435" s="50"/>
      <c r="AD3435" s="50"/>
    </row>
    <row r="3436" spans="1:30" s="49" customFormat="1" ht="23.25" customHeight="1">
      <c r="A3436" s="294"/>
      <c r="B3436" s="293" t="s">
        <v>178</v>
      </c>
      <c r="C3436" s="294">
        <v>1</v>
      </c>
      <c r="D3436" s="294">
        <v>10</v>
      </c>
      <c r="E3436" s="294">
        <v>10</v>
      </c>
      <c r="F3436" s="295">
        <v>0.45</v>
      </c>
      <c r="G3436" s="295"/>
      <c r="H3436" s="295"/>
      <c r="I3436" s="323">
        <f>PRODUCT(C3436:H3436)</f>
        <v>45</v>
      </c>
      <c r="J3436" s="294"/>
      <c r="K3436" s="50"/>
      <c r="L3436" s="50"/>
      <c r="M3436" s="50"/>
      <c r="N3436" s="50"/>
      <c r="O3436" s="50"/>
      <c r="P3436" s="50"/>
      <c r="Q3436" s="50"/>
      <c r="R3436" s="50"/>
      <c r="S3436" s="50"/>
      <c r="T3436" s="50"/>
      <c r="U3436" s="50"/>
      <c r="V3436" s="50"/>
      <c r="W3436" s="50"/>
      <c r="X3436" s="50"/>
      <c r="Y3436" s="50"/>
      <c r="Z3436" s="50"/>
      <c r="AA3436" s="50"/>
      <c r="AB3436" s="50"/>
      <c r="AC3436" s="50"/>
      <c r="AD3436" s="50"/>
    </row>
    <row r="3437" spans="1:30" s="53" customFormat="1" ht="23.25" customHeight="1">
      <c r="A3437" s="294"/>
      <c r="B3437" s="293" t="s">
        <v>185</v>
      </c>
      <c r="C3437" s="294">
        <v>1</v>
      </c>
      <c r="D3437" s="294">
        <v>1</v>
      </c>
      <c r="E3437" s="294">
        <v>10</v>
      </c>
      <c r="F3437" s="295">
        <v>0.3</v>
      </c>
      <c r="G3437" s="295"/>
      <c r="H3437" s="308"/>
      <c r="I3437" s="323">
        <f>PRODUCT(C3437:H3437)</f>
        <v>3</v>
      </c>
      <c r="J3437" s="294"/>
      <c r="K3437" s="54"/>
      <c r="L3437" s="54"/>
      <c r="M3437" s="54"/>
      <c r="N3437" s="54"/>
      <c r="O3437" s="54"/>
      <c r="P3437" s="54"/>
      <c r="Q3437" s="54"/>
      <c r="R3437" s="54"/>
      <c r="S3437" s="54"/>
      <c r="T3437" s="54"/>
      <c r="U3437" s="54"/>
      <c r="V3437" s="54"/>
      <c r="W3437" s="54"/>
      <c r="X3437" s="54"/>
      <c r="Y3437" s="54"/>
      <c r="Z3437" s="54"/>
      <c r="AA3437" s="54"/>
      <c r="AB3437" s="54"/>
      <c r="AC3437" s="54"/>
      <c r="AD3437" s="54"/>
    </row>
    <row r="3438" spans="1:30" s="53" customFormat="1" ht="23.25" customHeight="1">
      <c r="A3438" s="294"/>
      <c r="B3438" s="293" t="s">
        <v>184</v>
      </c>
      <c r="C3438" s="294">
        <v>1</v>
      </c>
      <c r="D3438" s="294">
        <v>1</v>
      </c>
      <c r="E3438" s="294">
        <v>10</v>
      </c>
      <c r="F3438" s="295">
        <v>0.3</v>
      </c>
      <c r="G3438" s="295"/>
      <c r="H3438" s="308"/>
      <c r="I3438" s="323">
        <f>PRODUCT(C3438:H3438)</f>
        <v>3</v>
      </c>
      <c r="J3438" s="294"/>
      <c r="K3438" s="54"/>
      <c r="L3438" s="54"/>
      <c r="M3438" s="54"/>
      <c r="N3438" s="54"/>
      <c r="O3438" s="54"/>
      <c r="P3438" s="54"/>
      <c r="Q3438" s="54"/>
      <c r="R3438" s="54"/>
      <c r="S3438" s="54"/>
      <c r="T3438" s="54"/>
      <c r="U3438" s="54"/>
      <c r="V3438" s="54"/>
      <c r="W3438" s="54"/>
      <c r="X3438" s="54"/>
      <c r="Y3438" s="54"/>
      <c r="Z3438" s="54"/>
      <c r="AA3438" s="54"/>
      <c r="AB3438" s="54"/>
      <c r="AC3438" s="54"/>
      <c r="AD3438" s="54"/>
    </row>
    <row r="3439" spans="1:30" s="49" customFormat="1" ht="23.25" customHeight="1">
      <c r="A3439" s="294"/>
      <c r="B3439" s="319" t="s">
        <v>95</v>
      </c>
      <c r="C3439" s="294"/>
      <c r="D3439" s="294"/>
      <c r="E3439" s="294"/>
      <c r="F3439" s="295"/>
      <c r="G3439" s="295"/>
      <c r="H3439" s="295"/>
      <c r="I3439" s="323"/>
      <c r="J3439" s="294"/>
      <c r="K3439" s="50"/>
      <c r="L3439" s="50"/>
      <c r="M3439" s="50"/>
      <c r="N3439" s="50"/>
      <c r="O3439" s="50"/>
      <c r="P3439" s="50"/>
      <c r="Q3439" s="50"/>
      <c r="R3439" s="50"/>
      <c r="S3439" s="50"/>
      <c r="T3439" s="50"/>
      <c r="U3439" s="50"/>
      <c r="V3439" s="50"/>
      <c r="W3439" s="50"/>
      <c r="X3439" s="50"/>
      <c r="Y3439" s="50"/>
      <c r="Z3439" s="50"/>
      <c r="AA3439" s="50"/>
      <c r="AB3439" s="50"/>
      <c r="AC3439" s="50"/>
      <c r="AD3439" s="50"/>
    </row>
    <row r="3440" spans="1:30" s="49" customFormat="1" ht="23.25" customHeight="1">
      <c r="A3440" s="294"/>
      <c r="B3440" s="293" t="s">
        <v>183</v>
      </c>
      <c r="C3440" s="294">
        <v>1</v>
      </c>
      <c r="D3440" s="294">
        <v>1</v>
      </c>
      <c r="E3440" s="294">
        <v>10</v>
      </c>
      <c r="F3440" s="295">
        <v>29</v>
      </c>
      <c r="G3440" s="295"/>
      <c r="H3440" s="295"/>
      <c r="I3440" s="323">
        <f t="shared" ref="I3440:I3445" si="156">PRODUCT(C3440:H3440)</f>
        <v>290</v>
      </c>
      <c r="J3440" s="294"/>
      <c r="K3440" s="50"/>
      <c r="L3440" s="50"/>
      <c r="M3440" s="50"/>
      <c r="N3440" s="50"/>
      <c r="O3440" s="50"/>
      <c r="P3440" s="50"/>
      <c r="Q3440" s="50"/>
      <c r="R3440" s="50"/>
      <c r="S3440" s="50"/>
      <c r="T3440" s="50"/>
      <c r="U3440" s="50"/>
      <c r="V3440" s="50"/>
      <c r="W3440" s="50"/>
      <c r="X3440" s="50"/>
      <c r="Y3440" s="50"/>
      <c r="Z3440" s="50"/>
      <c r="AA3440" s="50"/>
      <c r="AB3440" s="50"/>
      <c r="AC3440" s="50"/>
      <c r="AD3440" s="50"/>
    </row>
    <row r="3441" spans="1:30" s="49" customFormat="1" ht="23.25" customHeight="1">
      <c r="A3441" s="294"/>
      <c r="B3441" s="293" t="s">
        <v>178</v>
      </c>
      <c r="C3441" s="294">
        <v>1</v>
      </c>
      <c r="D3441" s="294">
        <v>11</v>
      </c>
      <c r="E3441" s="294">
        <v>10</v>
      </c>
      <c r="F3441" s="295">
        <v>0.45</v>
      </c>
      <c r="G3441" s="295"/>
      <c r="H3441" s="295"/>
      <c r="I3441" s="323">
        <f t="shared" si="156"/>
        <v>49.5</v>
      </c>
      <c r="J3441" s="294"/>
      <c r="K3441" s="50"/>
      <c r="L3441" s="50"/>
      <c r="M3441" s="50"/>
      <c r="N3441" s="50"/>
      <c r="O3441" s="50"/>
      <c r="P3441" s="50"/>
      <c r="Q3441" s="50"/>
      <c r="R3441" s="50"/>
      <c r="S3441" s="50"/>
      <c r="T3441" s="50"/>
      <c r="U3441" s="50"/>
      <c r="V3441" s="50"/>
      <c r="W3441" s="50"/>
      <c r="X3441" s="50"/>
      <c r="Y3441" s="50"/>
      <c r="Z3441" s="50"/>
      <c r="AA3441" s="50"/>
      <c r="AB3441" s="50"/>
      <c r="AC3441" s="50"/>
      <c r="AD3441" s="50"/>
    </row>
    <row r="3442" spans="1:30" s="49" customFormat="1" ht="23.25" customHeight="1">
      <c r="A3442" s="294"/>
      <c r="B3442" s="293" t="s">
        <v>1266</v>
      </c>
      <c r="C3442" s="294">
        <v>1</v>
      </c>
      <c r="D3442" s="294">
        <v>65</v>
      </c>
      <c r="E3442" s="294">
        <v>1</v>
      </c>
      <c r="F3442" s="295">
        <v>0.15</v>
      </c>
      <c r="G3442" s="295"/>
      <c r="H3442" s="295"/>
      <c r="I3442" s="323">
        <f t="shared" si="156"/>
        <v>9.75</v>
      </c>
      <c r="J3442" s="294"/>
      <c r="K3442" s="50"/>
      <c r="L3442" s="50"/>
      <c r="M3442" s="50"/>
      <c r="N3442" s="50"/>
      <c r="O3442" s="50"/>
      <c r="P3442" s="50"/>
      <c r="Q3442" s="50"/>
      <c r="R3442" s="50"/>
      <c r="S3442" s="50"/>
      <c r="T3442" s="50"/>
      <c r="U3442" s="50"/>
      <c r="V3442" s="50"/>
      <c r="W3442" s="50"/>
      <c r="X3442" s="50"/>
      <c r="Y3442" s="50"/>
      <c r="Z3442" s="50"/>
      <c r="AA3442" s="50"/>
      <c r="AB3442" s="50"/>
      <c r="AC3442" s="50"/>
      <c r="AD3442" s="50"/>
    </row>
    <row r="3443" spans="1:30" s="49" customFormat="1" ht="23.25" customHeight="1">
      <c r="A3443" s="294"/>
      <c r="B3443" s="293" t="s">
        <v>1266</v>
      </c>
      <c r="C3443" s="294">
        <v>1</v>
      </c>
      <c r="D3443" s="294">
        <v>64</v>
      </c>
      <c r="E3443" s="294">
        <v>1</v>
      </c>
      <c r="F3443" s="295">
        <v>0.15</v>
      </c>
      <c r="G3443" s="295"/>
      <c r="H3443" s="295"/>
      <c r="I3443" s="323">
        <f t="shared" si="156"/>
        <v>9.6</v>
      </c>
      <c r="J3443" s="294"/>
      <c r="K3443" s="50"/>
      <c r="L3443" s="50"/>
      <c r="M3443" s="50"/>
      <c r="N3443" s="50"/>
      <c r="O3443" s="50"/>
      <c r="P3443" s="50"/>
      <c r="Q3443" s="50"/>
      <c r="R3443" s="50"/>
      <c r="S3443" s="50"/>
      <c r="T3443" s="50"/>
      <c r="U3443" s="50"/>
      <c r="V3443" s="50"/>
      <c r="W3443" s="50"/>
      <c r="X3443" s="50"/>
      <c r="Y3443" s="50"/>
      <c r="Z3443" s="50"/>
      <c r="AA3443" s="50"/>
      <c r="AB3443" s="50"/>
      <c r="AC3443" s="50"/>
      <c r="AD3443" s="50"/>
    </row>
    <row r="3444" spans="1:30" s="49" customFormat="1" ht="23.25" customHeight="1">
      <c r="A3444" s="294"/>
      <c r="B3444" s="293" t="s">
        <v>191</v>
      </c>
      <c r="C3444" s="294">
        <v>1</v>
      </c>
      <c r="D3444" s="294">
        <v>2</v>
      </c>
      <c r="E3444" s="294">
        <v>10</v>
      </c>
      <c r="F3444" s="295">
        <v>0.3</v>
      </c>
      <c r="G3444" s="295"/>
      <c r="H3444" s="295"/>
      <c r="I3444" s="323">
        <f t="shared" si="156"/>
        <v>6</v>
      </c>
      <c r="J3444" s="294"/>
      <c r="K3444" s="50"/>
      <c r="L3444" s="50"/>
      <c r="M3444" s="50"/>
      <c r="N3444" s="50"/>
      <c r="O3444" s="50"/>
      <c r="P3444" s="50"/>
      <c r="Q3444" s="50"/>
      <c r="R3444" s="50"/>
      <c r="S3444" s="50"/>
      <c r="T3444" s="50"/>
      <c r="U3444" s="50"/>
      <c r="V3444" s="50"/>
      <c r="W3444" s="50"/>
      <c r="X3444" s="50"/>
      <c r="Y3444" s="50"/>
      <c r="Z3444" s="50"/>
      <c r="AA3444" s="50"/>
      <c r="AB3444" s="50"/>
      <c r="AC3444" s="50"/>
      <c r="AD3444" s="50"/>
    </row>
    <row r="3445" spans="1:30" s="53" customFormat="1" ht="23.25" customHeight="1">
      <c r="A3445" s="294"/>
      <c r="B3445" s="293" t="s">
        <v>190</v>
      </c>
      <c r="C3445" s="294">
        <v>1</v>
      </c>
      <c r="D3445" s="294">
        <v>1</v>
      </c>
      <c r="E3445" s="294">
        <v>10</v>
      </c>
      <c r="F3445" s="295">
        <v>0.3</v>
      </c>
      <c r="G3445" s="295"/>
      <c r="H3445" s="308"/>
      <c r="I3445" s="323">
        <f t="shared" si="156"/>
        <v>3</v>
      </c>
      <c r="J3445" s="294"/>
      <c r="K3445" s="54"/>
      <c r="L3445" s="54"/>
      <c r="M3445" s="54"/>
      <c r="N3445" s="54"/>
      <c r="O3445" s="54"/>
      <c r="P3445" s="54"/>
      <c r="Q3445" s="29">
        <f>SUM(I3435:I3445)</f>
        <v>708.85</v>
      </c>
      <c r="R3445" s="29">
        <f>Q3445+Q3430</f>
        <v>708.85</v>
      </c>
      <c r="S3445" s="54"/>
      <c r="T3445" s="54"/>
      <c r="U3445" s="54"/>
      <c r="V3445" s="54"/>
      <c r="W3445" s="54"/>
      <c r="X3445" s="54"/>
      <c r="Y3445" s="54"/>
      <c r="Z3445" s="54"/>
      <c r="AA3445" s="54"/>
      <c r="AB3445" s="54"/>
      <c r="AC3445" s="54"/>
      <c r="AD3445" s="54"/>
    </row>
    <row r="3446" spans="1:30" s="49" customFormat="1" ht="23.25" customHeight="1">
      <c r="A3446" s="294"/>
      <c r="B3446" s="310" t="s">
        <v>189</v>
      </c>
      <c r="C3446" s="324"/>
      <c r="D3446" s="324"/>
      <c r="E3446" s="324"/>
      <c r="F3446" s="324"/>
      <c r="G3446" s="324"/>
      <c r="H3446" s="324"/>
      <c r="I3446" s="549"/>
      <c r="J3446" s="324"/>
      <c r="K3446" s="57"/>
      <c r="L3446" s="57"/>
      <c r="M3446" s="57"/>
      <c r="N3446" s="50"/>
      <c r="O3446" s="50"/>
      <c r="P3446" s="50"/>
      <c r="Q3446" s="50"/>
      <c r="R3446" s="50"/>
      <c r="S3446" s="50"/>
      <c r="T3446" s="50"/>
      <c r="U3446" s="50"/>
      <c r="V3446" s="50"/>
      <c r="W3446" s="50"/>
      <c r="X3446" s="50"/>
      <c r="Y3446" s="50"/>
      <c r="Z3446" s="50"/>
      <c r="AA3446" s="50"/>
      <c r="AB3446" s="50"/>
      <c r="AC3446" s="50"/>
      <c r="AD3446" s="50"/>
    </row>
    <row r="3447" spans="1:30" s="49" customFormat="1" ht="26.25" customHeight="1">
      <c r="A3447" s="294"/>
      <c r="B3447" s="293" t="s">
        <v>188</v>
      </c>
      <c r="C3447" s="294">
        <v>5</v>
      </c>
      <c r="D3447" s="294">
        <v>1</v>
      </c>
      <c r="E3447" s="294">
        <v>100</v>
      </c>
      <c r="F3447" s="295">
        <v>2.5</v>
      </c>
      <c r="G3447" s="295"/>
      <c r="H3447" s="295"/>
      <c r="I3447" s="323">
        <f>PRODUCT(C3447:H3447)</f>
        <v>1250</v>
      </c>
      <c r="J3447" s="294"/>
      <c r="K3447" s="50"/>
      <c r="L3447" s="50"/>
      <c r="M3447" s="50"/>
      <c r="N3447" s="50"/>
      <c r="O3447" s="50"/>
      <c r="P3447" s="50"/>
      <c r="Q3447" s="50"/>
      <c r="R3447" s="50"/>
      <c r="S3447" s="50"/>
      <c r="T3447" s="50"/>
      <c r="U3447" s="50"/>
      <c r="V3447" s="50"/>
      <c r="W3447" s="50"/>
      <c r="X3447" s="50"/>
      <c r="Y3447" s="50"/>
      <c r="Z3447" s="50"/>
      <c r="AA3447" s="50"/>
      <c r="AB3447" s="50"/>
      <c r="AC3447" s="50"/>
      <c r="AD3447" s="50"/>
    </row>
    <row r="3448" spans="1:30" s="49" customFormat="1" ht="23.25" customHeight="1">
      <c r="A3448" s="294"/>
      <c r="B3448" s="293"/>
      <c r="C3448" s="294"/>
      <c r="D3448" s="294"/>
      <c r="E3448" s="294"/>
      <c r="F3448" s="295"/>
      <c r="G3448" s="295"/>
      <c r="H3448" s="295"/>
      <c r="I3448" s="323">
        <f>SUM(I3435:I3447)</f>
        <v>1958.85</v>
      </c>
      <c r="J3448" s="294"/>
      <c r="K3448" s="50"/>
      <c r="L3448" s="50"/>
      <c r="M3448" s="50"/>
      <c r="N3448" s="50"/>
      <c r="O3448" s="50"/>
      <c r="P3448" s="50"/>
      <c r="Q3448" s="50"/>
      <c r="R3448" s="50"/>
      <c r="S3448" s="50"/>
      <c r="T3448" s="50"/>
      <c r="U3448" s="50"/>
      <c r="V3448" s="50"/>
      <c r="W3448" s="50"/>
      <c r="X3448" s="50"/>
      <c r="Y3448" s="50"/>
      <c r="Z3448" s="50"/>
      <c r="AA3448" s="50"/>
      <c r="AB3448" s="50"/>
      <c r="AC3448" s="50"/>
      <c r="AD3448" s="50"/>
    </row>
    <row r="3449" spans="1:30" s="33" customFormat="1" ht="19.5" customHeight="1">
      <c r="A3449" s="278"/>
      <c r="B3449" s="279"/>
      <c r="C3449" s="280"/>
      <c r="D3449" s="280"/>
      <c r="E3449" s="280"/>
      <c r="F3449" s="282"/>
      <c r="G3449" s="589" t="s">
        <v>54</v>
      </c>
      <c r="H3449" s="590"/>
      <c r="I3449" s="416">
        <f>ROUNDUP(I3448,0)</f>
        <v>1959</v>
      </c>
      <c r="J3449" s="288" t="s">
        <v>47</v>
      </c>
      <c r="K3449" s="47"/>
      <c r="L3449" s="47"/>
      <c r="M3449" s="47"/>
      <c r="N3449" s="34"/>
      <c r="O3449" s="34"/>
      <c r="P3449" s="34"/>
      <c r="Q3449" s="34"/>
      <c r="R3449" s="34"/>
      <c r="S3449" s="34"/>
      <c r="T3449" s="34"/>
      <c r="U3449" s="34"/>
      <c r="V3449" s="34"/>
      <c r="W3449" s="34"/>
      <c r="X3449" s="34"/>
      <c r="Y3449" s="34"/>
      <c r="Z3449" s="34"/>
      <c r="AA3449" s="34"/>
      <c r="AB3449" s="34"/>
      <c r="AC3449" s="34"/>
      <c r="AD3449" s="34"/>
    </row>
    <row r="3450" spans="1:30" s="2" customFormat="1" ht="23.25" customHeight="1">
      <c r="A3450" s="278"/>
      <c r="B3450" s="286" t="s">
        <v>187</v>
      </c>
      <c r="C3450" s="280"/>
      <c r="D3450" s="280"/>
      <c r="E3450" s="280"/>
      <c r="F3450" s="282"/>
      <c r="G3450" s="282"/>
      <c r="H3450" s="282"/>
      <c r="I3450" s="416"/>
      <c r="J3450" s="284"/>
      <c r="K3450" s="43"/>
      <c r="L3450" s="43"/>
      <c r="M3450" s="43"/>
      <c r="N3450" s="9"/>
      <c r="O3450" s="9"/>
      <c r="P3450" s="9"/>
      <c r="Q3450" s="9"/>
      <c r="R3450" s="9"/>
      <c r="S3450" s="9"/>
      <c r="T3450" s="9"/>
      <c r="U3450" s="9"/>
      <c r="V3450" s="9"/>
      <c r="W3450" s="9"/>
      <c r="X3450" s="9"/>
      <c r="Y3450" s="9"/>
      <c r="Z3450" s="9"/>
      <c r="AA3450" s="9"/>
      <c r="AB3450" s="9"/>
      <c r="AC3450" s="9"/>
      <c r="AD3450" s="9"/>
    </row>
    <row r="3451" spans="1:30" s="55" customFormat="1" ht="19.5">
      <c r="A3451" s="294"/>
      <c r="B3451" s="319" t="s">
        <v>90</v>
      </c>
      <c r="C3451" s="294"/>
      <c r="D3451" s="294"/>
      <c r="E3451" s="294"/>
      <c r="F3451" s="295"/>
      <c r="G3451" s="295"/>
      <c r="H3451" s="295"/>
      <c r="I3451" s="323"/>
      <c r="J3451" s="294"/>
      <c r="K3451" s="56"/>
      <c r="L3451" s="56"/>
      <c r="M3451" s="56"/>
      <c r="N3451" s="56"/>
      <c r="O3451" s="56"/>
      <c r="P3451" s="56"/>
      <c r="Q3451" s="56"/>
      <c r="R3451" s="56"/>
      <c r="S3451" s="56"/>
      <c r="T3451" s="56"/>
      <c r="U3451" s="56"/>
      <c r="V3451" s="56"/>
      <c r="W3451" s="56"/>
      <c r="X3451" s="56"/>
      <c r="Y3451" s="56"/>
      <c r="Z3451" s="56"/>
      <c r="AA3451" s="56"/>
      <c r="AB3451" s="56"/>
      <c r="AC3451" s="56"/>
      <c r="AD3451" s="56"/>
    </row>
    <row r="3452" spans="1:30" s="49" customFormat="1" ht="21.75" customHeight="1">
      <c r="A3452" s="294"/>
      <c r="B3452" s="293" t="s">
        <v>183</v>
      </c>
      <c r="C3452" s="294">
        <v>1</v>
      </c>
      <c r="D3452" s="294">
        <v>1</v>
      </c>
      <c r="E3452" s="294">
        <v>10</v>
      </c>
      <c r="F3452" s="295">
        <v>29</v>
      </c>
      <c r="G3452" s="295"/>
      <c r="H3452" s="295"/>
      <c r="I3452" s="323">
        <f t="shared" ref="I3452:I3457" si="157">PRODUCT(C3452:H3452)</f>
        <v>290</v>
      </c>
      <c r="J3452" s="294"/>
      <c r="K3452" s="50"/>
      <c r="L3452" s="50"/>
      <c r="M3452" s="50"/>
      <c r="N3452" s="50"/>
      <c r="O3452" s="50"/>
      <c r="P3452" s="50"/>
      <c r="Q3452" s="50"/>
      <c r="R3452" s="50"/>
      <c r="S3452" s="50"/>
      <c r="T3452" s="50"/>
      <c r="U3452" s="50"/>
      <c r="V3452" s="50"/>
      <c r="W3452" s="50"/>
      <c r="X3452" s="50"/>
      <c r="Y3452" s="50"/>
      <c r="Z3452" s="50"/>
      <c r="AA3452" s="50"/>
      <c r="AB3452" s="50"/>
      <c r="AC3452" s="50"/>
      <c r="AD3452" s="50"/>
    </row>
    <row r="3453" spans="1:30" s="49" customFormat="1" ht="21.75" customHeight="1">
      <c r="A3453" s="294"/>
      <c r="B3453" s="293" t="s">
        <v>178</v>
      </c>
      <c r="C3453" s="294">
        <v>1</v>
      </c>
      <c r="D3453" s="294">
        <v>10</v>
      </c>
      <c r="E3453" s="294">
        <v>10</v>
      </c>
      <c r="F3453" s="295">
        <v>0.45</v>
      </c>
      <c r="G3453" s="295"/>
      <c r="H3453" s="295"/>
      <c r="I3453" s="323">
        <f t="shared" si="157"/>
        <v>45</v>
      </c>
      <c r="J3453" s="294"/>
      <c r="K3453" s="50"/>
      <c r="L3453" s="50"/>
      <c r="M3453" s="50"/>
      <c r="N3453" s="50"/>
      <c r="O3453" s="50"/>
      <c r="P3453" s="50"/>
      <c r="Q3453" s="50"/>
      <c r="R3453" s="50"/>
      <c r="S3453" s="50"/>
      <c r="T3453" s="50"/>
      <c r="U3453" s="50"/>
      <c r="V3453" s="50"/>
      <c r="W3453" s="50"/>
      <c r="X3453" s="50"/>
      <c r="Y3453" s="50"/>
      <c r="Z3453" s="50"/>
      <c r="AA3453" s="50"/>
      <c r="AB3453" s="50"/>
      <c r="AC3453" s="50"/>
      <c r="AD3453" s="50"/>
    </row>
    <row r="3454" spans="1:30" s="49" customFormat="1" ht="21.75" customHeight="1">
      <c r="A3454" s="294"/>
      <c r="B3454" s="293" t="s">
        <v>186</v>
      </c>
      <c r="C3454" s="294">
        <v>1</v>
      </c>
      <c r="D3454" s="294">
        <v>1</v>
      </c>
      <c r="E3454" s="294">
        <v>10</v>
      </c>
      <c r="F3454" s="295">
        <v>29</v>
      </c>
      <c r="G3454" s="295"/>
      <c r="H3454" s="295"/>
      <c r="I3454" s="323">
        <f t="shared" si="157"/>
        <v>290</v>
      </c>
      <c r="J3454" s="294"/>
      <c r="K3454" s="50"/>
      <c r="L3454" s="50"/>
      <c r="M3454" s="50"/>
      <c r="N3454" s="50"/>
      <c r="O3454" s="50"/>
      <c r="P3454" s="50"/>
      <c r="Q3454" s="50"/>
      <c r="R3454" s="50"/>
      <c r="S3454" s="50"/>
      <c r="T3454" s="50"/>
      <c r="U3454" s="50"/>
      <c r="V3454" s="50"/>
      <c r="W3454" s="50"/>
      <c r="X3454" s="50"/>
      <c r="Y3454" s="50"/>
      <c r="Z3454" s="50"/>
      <c r="AA3454" s="50"/>
      <c r="AB3454" s="50"/>
      <c r="AC3454" s="50"/>
      <c r="AD3454" s="50"/>
    </row>
    <row r="3455" spans="1:30" s="49" customFormat="1" ht="21.75" customHeight="1">
      <c r="A3455" s="294"/>
      <c r="B3455" s="293" t="s">
        <v>178</v>
      </c>
      <c r="C3455" s="294">
        <v>1</v>
      </c>
      <c r="D3455" s="294">
        <v>10</v>
      </c>
      <c r="E3455" s="294">
        <v>10</v>
      </c>
      <c r="F3455" s="295">
        <v>0.45</v>
      </c>
      <c r="G3455" s="295"/>
      <c r="H3455" s="295"/>
      <c r="I3455" s="323">
        <f t="shared" si="157"/>
        <v>45</v>
      </c>
      <c r="J3455" s="294"/>
      <c r="K3455" s="50"/>
      <c r="L3455" s="50"/>
      <c r="M3455" s="50"/>
      <c r="N3455" s="50"/>
      <c r="O3455" s="50"/>
      <c r="P3455" s="50"/>
      <c r="Q3455" s="50"/>
      <c r="R3455" s="50"/>
      <c r="S3455" s="50"/>
      <c r="T3455" s="50"/>
      <c r="U3455" s="50"/>
      <c r="V3455" s="50"/>
      <c r="W3455" s="50"/>
      <c r="X3455" s="50"/>
      <c r="Y3455" s="50"/>
      <c r="Z3455" s="50"/>
      <c r="AA3455" s="50"/>
      <c r="AB3455" s="50"/>
      <c r="AC3455" s="50"/>
      <c r="AD3455" s="50"/>
    </row>
    <row r="3456" spans="1:30" s="53" customFormat="1" ht="21.75" customHeight="1">
      <c r="A3456" s="294"/>
      <c r="B3456" s="293" t="s">
        <v>185</v>
      </c>
      <c r="C3456" s="294">
        <v>1</v>
      </c>
      <c r="D3456" s="294">
        <v>1</v>
      </c>
      <c r="E3456" s="294">
        <v>10</v>
      </c>
      <c r="F3456" s="295">
        <v>0.9</v>
      </c>
      <c r="G3456" s="295"/>
      <c r="H3456" s="308"/>
      <c r="I3456" s="323">
        <f t="shared" si="157"/>
        <v>9</v>
      </c>
      <c r="J3456" s="294"/>
      <c r="K3456" s="54"/>
      <c r="L3456" s="54"/>
      <c r="M3456" s="54"/>
      <c r="N3456" s="54"/>
      <c r="O3456" s="54"/>
      <c r="P3456" s="54"/>
      <c r="Q3456" s="54"/>
      <c r="R3456" s="54"/>
      <c r="S3456" s="54"/>
      <c r="T3456" s="54"/>
      <c r="U3456" s="54"/>
      <c r="V3456" s="54"/>
      <c r="W3456" s="54"/>
      <c r="X3456" s="54"/>
      <c r="Y3456" s="54"/>
      <c r="Z3456" s="54"/>
      <c r="AA3456" s="54"/>
      <c r="AB3456" s="54"/>
      <c r="AC3456" s="54"/>
      <c r="AD3456" s="54"/>
    </row>
    <row r="3457" spans="1:30" s="53" customFormat="1" ht="21.75" customHeight="1">
      <c r="A3457" s="294"/>
      <c r="B3457" s="293" t="s">
        <v>184</v>
      </c>
      <c r="C3457" s="294">
        <v>1</v>
      </c>
      <c r="D3457" s="294">
        <v>1</v>
      </c>
      <c r="E3457" s="294">
        <v>10</v>
      </c>
      <c r="F3457" s="295">
        <v>0.65</v>
      </c>
      <c r="G3457" s="295"/>
      <c r="H3457" s="308"/>
      <c r="I3457" s="323">
        <f t="shared" si="157"/>
        <v>6.5</v>
      </c>
      <c r="J3457" s="294"/>
      <c r="K3457" s="54"/>
      <c r="L3457" s="54"/>
      <c r="M3457" s="54"/>
      <c r="N3457" s="54"/>
      <c r="O3457" s="54"/>
      <c r="P3457" s="54"/>
      <c r="Q3457" s="54"/>
      <c r="R3457" s="54"/>
      <c r="S3457" s="54"/>
      <c r="T3457" s="54"/>
      <c r="U3457" s="54"/>
      <c r="V3457" s="54"/>
      <c r="W3457" s="54"/>
      <c r="X3457" s="54"/>
      <c r="Y3457" s="54"/>
      <c r="Z3457" s="54"/>
      <c r="AA3457" s="54"/>
      <c r="AB3457" s="54"/>
      <c r="AC3457" s="54"/>
      <c r="AD3457" s="54"/>
    </row>
    <row r="3458" spans="1:30" s="49" customFormat="1" ht="21.75" customHeight="1">
      <c r="A3458" s="294"/>
      <c r="B3458" s="319" t="s">
        <v>95</v>
      </c>
      <c r="C3458" s="294"/>
      <c r="D3458" s="294"/>
      <c r="E3458" s="294"/>
      <c r="F3458" s="295"/>
      <c r="G3458" s="295"/>
      <c r="H3458" s="295"/>
      <c r="I3458" s="323"/>
      <c r="J3458" s="294"/>
      <c r="K3458" s="50"/>
      <c r="L3458" s="50"/>
      <c r="M3458" s="50"/>
      <c r="N3458" s="50"/>
      <c r="O3458" s="50"/>
      <c r="P3458" s="50"/>
      <c r="Q3458" s="50"/>
      <c r="R3458" s="50"/>
      <c r="S3458" s="50"/>
      <c r="T3458" s="50"/>
      <c r="U3458" s="50"/>
      <c r="V3458" s="50"/>
      <c r="W3458" s="50"/>
      <c r="X3458" s="50"/>
      <c r="Y3458" s="50"/>
      <c r="Z3458" s="50"/>
      <c r="AA3458" s="50"/>
      <c r="AB3458" s="50"/>
      <c r="AC3458" s="50"/>
      <c r="AD3458" s="50"/>
    </row>
    <row r="3459" spans="1:30" s="49" customFormat="1" ht="21.75" customHeight="1">
      <c r="A3459" s="294"/>
      <c r="B3459" s="293" t="s">
        <v>183</v>
      </c>
      <c r="C3459" s="294">
        <v>1</v>
      </c>
      <c r="D3459" s="294">
        <v>1</v>
      </c>
      <c r="E3459" s="294">
        <v>10</v>
      </c>
      <c r="F3459" s="295">
        <v>29</v>
      </c>
      <c r="G3459" s="295"/>
      <c r="H3459" s="295"/>
      <c r="I3459" s="323">
        <f>PRODUCT(C3459:H3459)</f>
        <v>290</v>
      </c>
      <c r="J3459" s="294"/>
      <c r="K3459" s="50"/>
      <c r="L3459" s="50"/>
      <c r="M3459" s="50"/>
      <c r="N3459" s="50"/>
      <c r="O3459" s="50"/>
      <c r="P3459" s="50"/>
      <c r="Q3459" s="50"/>
      <c r="R3459" s="50"/>
      <c r="S3459" s="50"/>
      <c r="T3459" s="50"/>
      <c r="U3459" s="50"/>
      <c r="V3459" s="50"/>
      <c r="W3459" s="50"/>
      <c r="X3459" s="50"/>
      <c r="Y3459" s="50"/>
      <c r="Z3459" s="50"/>
      <c r="AA3459" s="50"/>
      <c r="AB3459" s="50"/>
      <c r="AC3459" s="50"/>
      <c r="AD3459" s="50"/>
    </row>
    <row r="3460" spans="1:30" s="49" customFormat="1" ht="21.75" customHeight="1">
      <c r="A3460" s="294"/>
      <c r="B3460" s="293" t="s">
        <v>178</v>
      </c>
      <c r="C3460" s="294">
        <v>1</v>
      </c>
      <c r="D3460" s="294">
        <v>10</v>
      </c>
      <c r="E3460" s="294">
        <v>10</v>
      </c>
      <c r="F3460" s="295">
        <v>0.45</v>
      </c>
      <c r="G3460" s="295"/>
      <c r="H3460" s="295"/>
      <c r="I3460" s="323">
        <f>PRODUCT(C3460:H3460)</f>
        <v>45</v>
      </c>
      <c r="J3460" s="294"/>
      <c r="K3460" s="50"/>
      <c r="L3460" s="50"/>
      <c r="M3460" s="50"/>
      <c r="N3460" s="50"/>
      <c r="O3460" s="50"/>
      <c r="P3460" s="50"/>
      <c r="Q3460" s="50"/>
      <c r="R3460" s="50"/>
      <c r="S3460" s="50"/>
      <c r="T3460" s="50"/>
      <c r="U3460" s="50"/>
      <c r="V3460" s="50"/>
      <c r="W3460" s="50"/>
      <c r="X3460" s="50"/>
      <c r="Y3460" s="50"/>
      <c r="Z3460" s="50"/>
      <c r="AA3460" s="50"/>
      <c r="AB3460" s="50"/>
      <c r="AC3460" s="50"/>
      <c r="AD3460" s="50"/>
    </row>
    <row r="3461" spans="1:30" s="53" customFormat="1" ht="21.75" customHeight="1">
      <c r="A3461" s="294"/>
      <c r="B3461" s="293" t="s">
        <v>182</v>
      </c>
      <c r="C3461" s="294">
        <v>1</v>
      </c>
      <c r="D3461" s="294">
        <v>1</v>
      </c>
      <c r="E3461" s="294">
        <v>10</v>
      </c>
      <c r="F3461" s="295">
        <v>0.9</v>
      </c>
      <c r="G3461" s="295"/>
      <c r="H3461" s="308"/>
      <c r="I3461" s="323">
        <f>PRODUCT(C3461:H3461)</f>
        <v>9</v>
      </c>
      <c r="J3461" s="294"/>
      <c r="K3461" s="54"/>
      <c r="L3461" s="54"/>
      <c r="M3461" s="54"/>
      <c r="N3461" s="54"/>
      <c r="O3461" s="54"/>
      <c r="P3461" s="54"/>
      <c r="Q3461" s="29">
        <f>SUM(I3452:I3461)</f>
        <v>1029.5</v>
      </c>
      <c r="R3461" s="29">
        <f>Q3461+Q3444</f>
        <v>1029.5</v>
      </c>
      <c r="S3461" s="54"/>
      <c r="T3461" s="54"/>
      <c r="U3461" s="54"/>
      <c r="V3461" s="54"/>
      <c r="W3461" s="54"/>
      <c r="X3461" s="54"/>
      <c r="Y3461" s="54"/>
      <c r="Z3461" s="54"/>
      <c r="AA3461" s="54"/>
      <c r="AB3461" s="54"/>
      <c r="AC3461" s="54"/>
      <c r="AD3461" s="54"/>
    </row>
    <row r="3462" spans="1:30" s="49" customFormat="1" ht="21.75" customHeight="1">
      <c r="A3462" s="294"/>
      <c r="B3462" s="324" t="s">
        <v>181</v>
      </c>
      <c r="C3462" s="289"/>
      <c r="D3462" s="289"/>
      <c r="E3462" s="289"/>
      <c r="F3462" s="289"/>
      <c r="G3462" s="289"/>
      <c r="H3462" s="289"/>
      <c r="I3462" s="550"/>
      <c r="J3462" s="289"/>
      <c r="K3462" s="52"/>
      <c r="L3462" s="52"/>
      <c r="M3462" s="52"/>
      <c r="N3462" s="50"/>
      <c r="O3462" s="50"/>
      <c r="P3462" s="50"/>
      <c r="Q3462" s="50"/>
      <c r="R3462" s="50"/>
      <c r="S3462" s="50"/>
      <c r="T3462" s="50"/>
      <c r="U3462" s="50"/>
      <c r="V3462" s="50"/>
      <c r="W3462" s="50"/>
      <c r="X3462" s="50"/>
      <c r="Y3462" s="50"/>
      <c r="Z3462" s="50"/>
      <c r="AA3462" s="50"/>
      <c r="AB3462" s="50"/>
      <c r="AC3462" s="50"/>
      <c r="AD3462" s="50"/>
    </row>
    <row r="3463" spans="1:30" s="49" customFormat="1" ht="34.5" customHeight="1">
      <c r="A3463" s="294"/>
      <c r="B3463" s="293" t="s">
        <v>180</v>
      </c>
      <c r="C3463" s="294">
        <v>1</v>
      </c>
      <c r="D3463" s="294">
        <v>1</v>
      </c>
      <c r="E3463" s="294">
        <v>100</v>
      </c>
      <c r="F3463" s="295">
        <v>5.29</v>
      </c>
      <c r="G3463" s="295"/>
      <c r="H3463" s="295"/>
      <c r="I3463" s="323">
        <f>PRODUCT(C3463:H3463)</f>
        <v>529</v>
      </c>
      <c r="J3463" s="294"/>
      <c r="K3463" s="50"/>
      <c r="L3463" s="50"/>
      <c r="M3463" s="50"/>
      <c r="N3463" s="50"/>
      <c r="O3463" s="50"/>
      <c r="P3463" s="50"/>
      <c r="Q3463" s="50"/>
      <c r="R3463" s="50"/>
      <c r="S3463" s="50"/>
      <c r="T3463" s="50"/>
      <c r="U3463" s="50"/>
      <c r="V3463" s="50"/>
      <c r="W3463" s="50"/>
      <c r="X3463" s="50"/>
      <c r="Y3463" s="50"/>
      <c r="Z3463" s="50"/>
      <c r="AA3463" s="50"/>
      <c r="AB3463" s="50"/>
      <c r="AC3463" s="50"/>
      <c r="AD3463" s="50"/>
    </row>
    <row r="3464" spans="1:30" s="49" customFormat="1" ht="23.25" customHeight="1">
      <c r="A3464" s="294"/>
      <c r="B3464" s="293"/>
      <c r="C3464" s="294"/>
      <c r="D3464" s="294"/>
      <c r="E3464" s="294"/>
      <c r="F3464" s="295"/>
      <c r="G3464" s="604"/>
      <c r="H3464" s="605"/>
      <c r="I3464" s="323">
        <f>SUM(I3452:I3463)</f>
        <v>1558.5</v>
      </c>
      <c r="J3464" s="294"/>
      <c r="K3464" s="50"/>
      <c r="L3464" s="50"/>
      <c r="M3464" s="50"/>
      <c r="N3464" s="50"/>
      <c r="O3464" s="50"/>
      <c r="P3464" s="50"/>
      <c r="Q3464" s="50"/>
      <c r="R3464" s="50"/>
      <c r="S3464" s="50"/>
      <c r="T3464" s="50"/>
      <c r="U3464" s="50"/>
      <c r="V3464" s="50"/>
      <c r="W3464" s="50"/>
      <c r="X3464" s="50"/>
      <c r="Y3464" s="50"/>
      <c r="Z3464" s="50"/>
      <c r="AA3464" s="50"/>
      <c r="AB3464" s="50"/>
      <c r="AC3464" s="50"/>
      <c r="AD3464" s="50"/>
    </row>
    <row r="3465" spans="1:30" s="2" customFormat="1" ht="23.25" customHeight="1">
      <c r="A3465" s="278"/>
      <c r="B3465" s="279"/>
      <c r="C3465" s="280"/>
      <c r="D3465" s="280"/>
      <c r="E3465" s="280"/>
      <c r="F3465" s="282"/>
      <c r="G3465" s="589" t="s">
        <v>55</v>
      </c>
      <c r="H3465" s="590"/>
      <c r="I3465" s="416">
        <f>ROUNDUP(I3464,0)</f>
        <v>1559</v>
      </c>
      <c r="J3465" s="288" t="s">
        <v>47</v>
      </c>
      <c r="K3465" s="47"/>
      <c r="L3465" s="47"/>
      <c r="M3465" s="47"/>
      <c r="N3465" s="9"/>
      <c r="O3465" s="9"/>
      <c r="P3465" s="9"/>
      <c r="Q3465" s="9"/>
      <c r="R3465" s="9"/>
      <c r="S3465" s="9"/>
      <c r="T3465" s="9"/>
      <c r="U3465" s="9"/>
      <c r="V3465" s="9"/>
      <c r="W3465" s="9"/>
      <c r="X3465" s="9"/>
      <c r="Y3465" s="9"/>
      <c r="Z3465" s="9"/>
      <c r="AA3465" s="9"/>
      <c r="AB3465" s="9"/>
      <c r="AC3465" s="9"/>
      <c r="AD3465" s="9"/>
    </row>
    <row r="3466" spans="1:30" s="2" customFormat="1" ht="51.75" customHeight="1">
      <c r="A3466" s="278">
        <v>58.4</v>
      </c>
      <c r="B3466" s="286" t="s">
        <v>179</v>
      </c>
      <c r="C3466" s="280"/>
      <c r="D3466" s="280"/>
      <c r="E3466" s="280"/>
      <c r="F3466" s="282"/>
      <c r="G3466" s="282"/>
      <c r="H3466" s="282"/>
      <c r="I3466" s="416"/>
      <c r="J3466" s="284"/>
      <c r="K3466" s="43"/>
      <c r="L3466" s="43"/>
      <c r="M3466" s="43"/>
      <c r="N3466" s="9"/>
      <c r="O3466" s="9"/>
      <c r="P3466" s="9"/>
      <c r="Q3466" s="9"/>
      <c r="R3466" s="9"/>
      <c r="S3466" s="9"/>
      <c r="T3466" s="9"/>
      <c r="U3466" s="9"/>
      <c r="V3466" s="9"/>
      <c r="W3466" s="9"/>
      <c r="X3466" s="9"/>
      <c r="Y3466" s="9"/>
      <c r="Z3466" s="9"/>
      <c r="AA3466" s="9"/>
      <c r="AB3466" s="9"/>
      <c r="AC3466" s="9"/>
      <c r="AD3466" s="9"/>
    </row>
    <row r="3467" spans="1:30" s="367" customFormat="1" ht="22.5" customHeight="1">
      <c r="A3467" s="395"/>
      <c r="B3467" s="401" t="s">
        <v>958</v>
      </c>
      <c r="C3467" s="397">
        <v>1</v>
      </c>
      <c r="D3467" s="397">
        <v>1</v>
      </c>
      <c r="E3467" s="397">
        <v>100</v>
      </c>
      <c r="F3467" s="410">
        <v>1.8</v>
      </c>
      <c r="G3467" s="410" t="s">
        <v>26</v>
      </c>
      <c r="H3467" s="410" t="s">
        <v>26</v>
      </c>
      <c r="I3467" s="399">
        <f>PRODUCT(C3467:H3467)</f>
        <v>180</v>
      </c>
      <c r="J3467" s="396"/>
    </row>
    <row r="3468" spans="1:30" s="367" customFormat="1" ht="22.5" customHeight="1">
      <c r="A3468" s="395"/>
      <c r="B3468" s="401" t="s">
        <v>1585</v>
      </c>
      <c r="C3468" s="397">
        <v>1</v>
      </c>
      <c r="D3468" s="397">
        <v>1</v>
      </c>
      <c r="E3468" s="397">
        <v>100</v>
      </c>
      <c r="F3468" s="410">
        <v>1.8</v>
      </c>
      <c r="G3468" s="410" t="s">
        <v>26</v>
      </c>
      <c r="H3468" s="410" t="s">
        <v>26</v>
      </c>
      <c r="I3468" s="399">
        <f>PRODUCT(C3468:H3468)</f>
        <v>180</v>
      </c>
      <c r="J3468" s="396"/>
    </row>
    <row r="3469" spans="1:30" s="367" customFormat="1" ht="22.5" customHeight="1">
      <c r="A3469" s="395"/>
      <c r="B3469" s="401" t="s">
        <v>1586</v>
      </c>
      <c r="C3469" s="397">
        <v>1</v>
      </c>
      <c r="D3469" s="397">
        <v>1</v>
      </c>
      <c r="E3469" s="397">
        <v>2</v>
      </c>
      <c r="F3469" s="410">
        <v>1.5</v>
      </c>
      <c r="G3469" s="410" t="s">
        <v>26</v>
      </c>
      <c r="H3469" s="410" t="s">
        <v>26</v>
      </c>
      <c r="I3469" s="399">
        <f>PRODUCT(C3469:H3469)</f>
        <v>3</v>
      </c>
      <c r="J3469" s="396"/>
    </row>
    <row r="3470" spans="1:30" s="49" customFormat="1" ht="24.75" customHeight="1">
      <c r="A3470" s="294"/>
      <c r="B3470" s="293"/>
      <c r="C3470" s="294"/>
      <c r="D3470" s="309"/>
      <c r="E3470" s="294"/>
      <c r="F3470" s="295"/>
      <c r="G3470" s="604"/>
      <c r="H3470" s="605"/>
      <c r="I3470" s="323">
        <f>SUM(I3467:I3469)</f>
        <v>363</v>
      </c>
      <c r="J3470" s="294" t="s">
        <v>12</v>
      </c>
      <c r="K3470" s="50"/>
      <c r="L3470" s="50"/>
      <c r="M3470" s="50"/>
      <c r="N3470" s="50"/>
      <c r="O3470" s="50"/>
      <c r="P3470" s="50"/>
      <c r="Q3470" s="51"/>
      <c r="R3470" s="50"/>
      <c r="S3470" s="50"/>
      <c r="T3470" s="50"/>
      <c r="U3470" s="50"/>
      <c r="V3470" s="50"/>
      <c r="W3470" s="50"/>
      <c r="X3470" s="50"/>
      <c r="Y3470" s="50"/>
      <c r="Z3470" s="50"/>
      <c r="AA3470" s="50"/>
      <c r="AB3470" s="50"/>
      <c r="AC3470" s="50"/>
      <c r="AD3470" s="50"/>
    </row>
    <row r="3471" spans="1:30" s="33" customFormat="1" ht="23.25" customHeight="1">
      <c r="A3471" s="278"/>
      <c r="B3471" s="279"/>
      <c r="C3471" s="280"/>
      <c r="D3471" s="280"/>
      <c r="E3471" s="280"/>
      <c r="F3471" s="282"/>
      <c r="G3471" s="597" t="s">
        <v>54</v>
      </c>
      <c r="H3471" s="598"/>
      <c r="I3471" s="416">
        <f>ROUNDUP(I3470,0)</f>
        <v>363</v>
      </c>
      <c r="J3471" s="288" t="s">
        <v>47</v>
      </c>
      <c r="K3471" s="47"/>
      <c r="L3471" s="47"/>
      <c r="M3471" s="47"/>
      <c r="N3471" s="34"/>
      <c r="O3471" s="34"/>
      <c r="P3471" s="34"/>
      <c r="Q3471" s="34"/>
      <c r="R3471" s="34"/>
      <c r="S3471" s="34"/>
      <c r="T3471" s="34"/>
      <c r="U3471" s="34"/>
      <c r="V3471" s="34"/>
      <c r="W3471" s="34"/>
      <c r="X3471" s="34"/>
      <c r="Y3471" s="34"/>
      <c r="Z3471" s="34"/>
      <c r="AA3471" s="34"/>
      <c r="AB3471" s="34"/>
      <c r="AC3471" s="34"/>
      <c r="AD3471" s="34"/>
    </row>
    <row r="3472" spans="1:30" s="45" customFormat="1" ht="20.25" customHeight="1">
      <c r="A3472" s="278"/>
      <c r="B3472" s="286" t="s">
        <v>177</v>
      </c>
      <c r="C3472" s="280"/>
      <c r="D3472" s="280"/>
      <c r="E3472" s="280"/>
      <c r="F3472" s="282"/>
      <c r="G3472" s="282"/>
      <c r="H3472" s="415"/>
      <c r="I3472" s="416"/>
      <c r="J3472" s="278"/>
      <c r="K3472" s="46"/>
      <c r="L3472" s="46"/>
      <c r="M3472" s="46"/>
    </row>
    <row r="3473" spans="1:13" s="45" customFormat="1" ht="34.5" customHeight="1">
      <c r="A3473" s="288">
        <v>64.099999999999994</v>
      </c>
      <c r="B3473" s="279" t="s">
        <v>176</v>
      </c>
      <c r="C3473" s="280"/>
      <c r="D3473" s="280"/>
      <c r="E3473" s="280"/>
      <c r="F3473" s="282"/>
      <c r="G3473" s="282"/>
      <c r="H3473" s="282"/>
      <c r="I3473" s="416"/>
      <c r="J3473" s="278"/>
      <c r="K3473" s="46"/>
      <c r="L3473" s="46"/>
      <c r="M3473" s="46"/>
    </row>
    <row r="3474" spans="1:13" s="45" customFormat="1" ht="18.75" customHeight="1">
      <c r="A3474" s="278"/>
      <c r="B3474" s="286" t="s">
        <v>175</v>
      </c>
      <c r="C3474" s="280"/>
      <c r="D3474" s="280"/>
      <c r="E3474" s="280"/>
      <c r="F3474" s="282"/>
      <c r="G3474" s="282"/>
      <c r="H3474" s="282"/>
      <c r="I3474" s="416"/>
      <c r="J3474" s="278"/>
      <c r="K3474" s="46"/>
      <c r="L3474" s="46"/>
      <c r="M3474" s="46"/>
    </row>
    <row r="3475" spans="1:13" s="45" customFormat="1" ht="18.75" customHeight="1">
      <c r="A3475" s="278"/>
      <c r="B3475" s="279" t="s">
        <v>158</v>
      </c>
      <c r="C3475" s="280">
        <v>100</v>
      </c>
      <c r="D3475" s="280">
        <v>1</v>
      </c>
      <c r="E3475" s="280">
        <v>2</v>
      </c>
      <c r="F3475" s="282"/>
      <c r="G3475" s="282"/>
      <c r="H3475" s="282"/>
      <c r="I3475" s="283">
        <f t="shared" ref="I3475:I3484" si="158">PRODUCT(C3475:H3475)</f>
        <v>200</v>
      </c>
      <c r="J3475" s="278"/>
      <c r="K3475" s="46"/>
      <c r="L3475" s="46"/>
      <c r="M3475" s="46"/>
    </row>
    <row r="3476" spans="1:13" s="45" customFormat="1" ht="18.75" customHeight="1">
      <c r="A3476" s="278"/>
      <c r="B3476" s="279" t="s">
        <v>162</v>
      </c>
      <c r="C3476" s="280">
        <v>100</v>
      </c>
      <c r="D3476" s="280">
        <v>1</v>
      </c>
      <c r="E3476" s="280">
        <v>2</v>
      </c>
      <c r="F3476" s="282"/>
      <c r="G3476" s="282"/>
      <c r="H3476" s="282"/>
      <c r="I3476" s="283">
        <f t="shared" si="158"/>
        <v>200</v>
      </c>
      <c r="J3476" s="278"/>
      <c r="K3476" s="46"/>
      <c r="L3476" s="46"/>
      <c r="M3476" s="46"/>
    </row>
    <row r="3477" spans="1:13" s="45" customFormat="1" ht="18.75" customHeight="1">
      <c r="A3477" s="278"/>
      <c r="B3477" s="279" t="s">
        <v>105</v>
      </c>
      <c r="C3477" s="280">
        <v>100</v>
      </c>
      <c r="D3477" s="280">
        <v>1</v>
      </c>
      <c r="E3477" s="280">
        <v>2</v>
      </c>
      <c r="F3477" s="282"/>
      <c r="G3477" s="282"/>
      <c r="H3477" s="282"/>
      <c r="I3477" s="283">
        <f t="shared" si="158"/>
        <v>200</v>
      </c>
      <c r="J3477" s="278"/>
      <c r="K3477" s="46"/>
      <c r="L3477" s="46"/>
      <c r="M3477" s="46"/>
    </row>
    <row r="3478" spans="1:13" s="45" customFormat="1" ht="18.75" customHeight="1">
      <c r="A3478" s="278"/>
      <c r="B3478" s="279" t="s">
        <v>82</v>
      </c>
      <c r="C3478" s="280">
        <v>1</v>
      </c>
      <c r="D3478" s="280">
        <v>2</v>
      </c>
      <c r="E3478" s="280">
        <v>3</v>
      </c>
      <c r="F3478" s="282"/>
      <c r="G3478" s="282"/>
      <c r="H3478" s="282"/>
      <c r="I3478" s="283">
        <f t="shared" si="158"/>
        <v>6</v>
      </c>
      <c r="J3478" s="278"/>
      <c r="K3478" s="46"/>
      <c r="L3478" s="46"/>
      <c r="M3478" s="46"/>
    </row>
    <row r="3479" spans="1:13" s="45" customFormat="1" ht="18.75" customHeight="1">
      <c r="A3479" s="278"/>
      <c r="B3479" s="279" t="s">
        <v>174</v>
      </c>
      <c r="C3479" s="280">
        <v>100</v>
      </c>
      <c r="D3479" s="280">
        <v>1</v>
      </c>
      <c r="E3479" s="278">
        <v>1</v>
      </c>
      <c r="F3479" s="282"/>
      <c r="G3479" s="282"/>
      <c r="H3479" s="282"/>
      <c r="I3479" s="283">
        <f t="shared" si="158"/>
        <v>100</v>
      </c>
      <c r="J3479" s="394"/>
      <c r="K3479" s="48"/>
      <c r="L3479" s="48"/>
      <c r="M3479" s="48"/>
    </row>
    <row r="3480" spans="1:13" s="45" customFormat="1" ht="18.75" customHeight="1">
      <c r="A3480" s="278"/>
      <c r="B3480" s="279" t="s">
        <v>170</v>
      </c>
      <c r="C3480" s="280">
        <v>10</v>
      </c>
      <c r="D3480" s="280">
        <v>1</v>
      </c>
      <c r="E3480" s="280">
        <v>10</v>
      </c>
      <c r="F3480" s="282"/>
      <c r="G3480" s="282"/>
      <c r="H3480" s="282"/>
      <c r="I3480" s="283">
        <f t="shared" si="158"/>
        <v>100</v>
      </c>
      <c r="J3480" s="278"/>
      <c r="K3480" s="46"/>
      <c r="L3480" s="46"/>
      <c r="M3480" s="46"/>
    </row>
    <row r="3481" spans="1:13" s="45" customFormat="1" ht="18.75" customHeight="1">
      <c r="A3481" s="278"/>
      <c r="B3481" s="279" t="s">
        <v>166</v>
      </c>
      <c r="C3481" s="280">
        <v>1</v>
      </c>
      <c r="D3481" s="280">
        <v>3</v>
      </c>
      <c r="E3481" s="280">
        <v>2</v>
      </c>
      <c r="F3481" s="282"/>
      <c r="G3481" s="282"/>
      <c r="H3481" s="282"/>
      <c r="I3481" s="283">
        <f t="shared" si="158"/>
        <v>6</v>
      </c>
      <c r="J3481" s="278"/>
      <c r="K3481" s="46"/>
      <c r="L3481" s="46"/>
      <c r="M3481" s="46"/>
    </row>
    <row r="3482" spans="1:13" s="45" customFormat="1" ht="18.75" customHeight="1">
      <c r="A3482" s="278"/>
      <c r="B3482" s="279" t="s">
        <v>156</v>
      </c>
      <c r="C3482" s="280">
        <v>1</v>
      </c>
      <c r="D3482" s="280">
        <v>1</v>
      </c>
      <c r="E3482" s="280">
        <v>35</v>
      </c>
      <c r="F3482" s="282"/>
      <c r="G3482" s="282"/>
      <c r="H3482" s="282"/>
      <c r="I3482" s="283">
        <f t="shared" si="158"/>
        <v>35</v>
      </c>
      <c r="J3482" s="278"/>
      <c r="K3482" s="46"/>
      <c r="L3482" s="46"/>
      <c r="M3482" s="46"/>
    </row>
    <row r="3483" spans="1:13" s="45" customFormat="1" ht="18.75" customHeight="1">
      <c r="A3483" s="278"/>
      <c r="B3483" s="279" t="s">
        <v>519</v>
      </c>
      <c r="C3483" s="280">
        <v>10</v>
      </c>
      <c r="D3483" s="280">
        <v>10</v>
      </c>
      <c r="E3483" s="280">
        <v>1</v>
      </c>
      <c r="F3483" s="282"/>
      <c r="G3483" s="282"/>
      <c r="H3483" s="282"/>
      <c r="I3483" s="283">
        <f t="shared" si="158"/>
        <v>100</v>
      </c>
      <c r="J3483" s="278"/>
      <c r="K3483" s="46"/>
      <c r="L3483" s="46"/>
      <c r="M3483" s="46"/>
    </row>
    <row r="3484" spans="1:13" s="45" customFormat="1" ht="18.75" customHeight="1">
      <c r="A3484" s="278"/>
      <c r="B3484" s="279" t="s">
        <v>1570</v>
      </c>
      <c r="C3484" s="280">
        <v>1</v>
      </c>
      <c r="D3484" s="280">
        <v>1</v>
      </c>
      <c r="E3484" s="280">
        <v>18</v>
      </c>
      <c r="F3484" s="282"/>
      <c r="G3484" s="282"/>
      <c r="H3484" s="282"/>
      <c r="I3484" s="283">
        <f t="shared" si="158"/>
        <v>18</v>
      </c>
      <c r="J3484" s="278"/>
      <c r="K3484" s="46"/>
      <c r="L3484" s="46"/>
      <c r="M3484" s="46"/>
    </row>
    <row r="3485" spans="1:13" s="45" customFormat="1" ht="18.75" customHeight="1">
      <c r="A3485" s="278"/>
      <c r="B3485" s="279"/>
      <c r="C3485" s="280"/>
      <c r="D3485" s="280"/>
      <c r="E3485" s="280"/>
      <c r="F3485" s="282"/>
      <c r="G3485" s="282"/>
      <c r="H3485" s="282"/>
      <c r="I3485" s="416">
        <f>SUM(I3475:I3484)</f>
        <v>965</v>
      </c>
      <c r="J3485" s="288" t="s">
        <v>23</v>
      </c>
      <c r="K3485" s="47"/>
      <c r="L3485" s="47"/>
      <c r="M3485" s="47"/>
    </row>
    <row r="3486" spans="1:13" s="45" customFormat="1" ht="44.25" customHeight="1">
      <c r="A3486" s="278"/>
      <c r="B3486" s="286" t="s">
        <v>173</v>
      </c>
      <c r="C3486" s="280"/>
      <c r="D3486" s="280"/>
      <c r="E3486" s="280"/>
      <c r="F3486" s="282"/>
      <c r="G3486" s="282"/>
      <c r="H3486" s="282"/>
      <c r="I3486" s="416"/>
      <c r="J3486" s="278"/>
      <c r="K3486" s="46"/>
      <c r="L3486" s="46"/>
      <c r="M3486" s="46"/>
    </row>
    <row r="3487" spans="1:13" s="45" customFormat="1" ht="18.75" customHeight="1">
      <c r="A3487" s="278"/>
      <c r="B3487" s="279" t="s">
        <v>158</v>
      </c>
      <c r="C3487" s="280">
        <v>100</v>
      </c>
      <c r="D3487" s="280">
        <v>1</v>
      </c>
      <c r="E3487" s="280">
        <v>1</v>
      </c>
      <c r="F3487" s="282"/>
      <c r="G3487" s="282"/>
      <c r="H3487" s="282"/>
      <c r="I3487" s="283">
        <f>PRODUCT(C3487:H3487)</f>
        <v>100</v>
      </c>
      <c r="J3487" s="278"/>
      <c r="K3487" s="46"/>
      <c r="L3487" s="46"/>
      <c r="M3487" s="46"/>
    </row>
    <row r="3488" spans="1:13" s="45" customFormat="1" ht="18.75" customHeight="1">
      <c r="A3488" s="278"/>
      <c r="B3488" s="279" t="s">
        <v>162</v>
      </c>
      <c r="C3488" s="280">
        <v>100</v>
      </c>
      <c r="D3488" s="280">
        <v>1</v>
      </c>
      <c r="E3488" s="280">
        <v>2</v>
      </c>
      <c r="F3488" s="282"/>
      <c r="G3488" s="282"/>
      <c r="H3488" s="282"/>
      <c r="I3488" s="283">
        <f>PRODUCT(C3488:H3488)</f>
        <v>200</v>
      </c>
      <c r="J3488" s="278"/>
      <c r="K3488" s="46"/>
      <c r="L3488" s="46"/>
      <c r="M3488" s="46"/>
    </row>
    <row r="3489" spans="1:13" s="45" customFormat="1" ht="18.75" customHeight="1">
      <c r="A3489" s="278"/>
      <c r="B3489" s="279" t="s">
        <v>105</v>
      </c>
      <c r="C3489" s="280">
        <v>100</v>
      </c>
      <c r="D3489" s="280">
        <v>1</v>
      </c>
      <c r="E3489" s="280">
        <v>1</v>
      </c>
      <c r="F3489" s="282"/>
      <c r="G3489" s="282"/>
      <c r="H3489" s="282"/>
      <c r="I3489" s="283">
        <f>PRODUCT(C3489:H3489)</f>
        <v>100</v>
      </c>
      <c r="J3489" s="278"/>
      <c r="K3489" s="46"/>
      <c r="L3489" s="46"/>
      <c r="M3489" s="46"/>
    </row>
    <row r="3490" spans="1:13" s="45" customFormat="1" ht="18.75" customHeight="1">
      <c r="A3490" s="278"/>
      <c r="B3490" s="279" t="s">
        <v>172</v>
      </c>
      <c r="C3490" s="280">
        <v>100</v>
      </c>
      <c r="D3490" s="280">
        <v>1</v>
      </c>
      <c r="E3490" s="280">
        <v>4</v>
      </c>
      <c r="F3490" s="282"/>
      <c r="G3490" s="282"/>
      <c r="H3490" s="282"/>
      <c r="I3490" s="283">
        <v>160</v>
      </c>
      <c r="J3490" s="278"/>
      <c r="K3490" s="46"/>
      <c r="L3490" s="46"/>
      <c r="M3490" s="46"/>
    </row>
    <row r="3491" spans="1:13" s="45" customFormat="1" ht="18.75" customHeight="1">
      <c r="A3491" s="278"/>
      <c r="B3491" s="279" t="s">
        <v>171</v>
      </c>
      <c r="C3491" s="280">
        <v>100</v>
      </c>
      <c r="D3491" s="280">
        <v>1</v>
      </c>
      <c r="E3491" s="280">
        <v>1</v>
      </c>
      <c r="F3491" s="282"/>
      <c r="G3491" s="282"/>
      <c r="H3491" s="282"/>
      <c r="I3491" s="283">
        <f>PRODUCT(C3491:H3491)</f>
        <v>100</v>
      </c>
      <c r="J3491" s="278"/>
      <c r="K3491" s="46"/>
      <c r="L3491" s="46"/>
      <c r="M3491" s="46"/>
    </row>
    <row r="3492" spans="1:13" s="45" customFormat="1" ht="18.75" customHeight="1">
      <c r="A3492" s="278"/>
      <c r="B3492" s="279" t="s">
        <v>170</v>
      </c>
      <c r="C3492" s="280">
        <v>14</v>
      </c>
      <c r="D3492" s="280">
        <v>1</v>
      </c>
      <c r="E3492" s="280">
        <v>5</v>
      </c>
      <c r="F3492" s="282"/>
      <c r="G3492" s="282"/>
      <c r="H3492" s="282"/>
      <c r="I3492" s="283">
        <f>PRODUCT(C3492:H3492)</f>
        <v>70</v>
      </c>
      <c r="J3492" s="278"/>
      <c r="K3492" s="46"/>
      <c r="L3492" s="46"/>
      <c r="M3492" s="46"/>
    </row>
    <row r="3493" spans="1:13" s="45" customFormat="1" ht="18.75" customHeight="1">
      <c r="A3493" s="278"/>
      <c r="B3493" s="279" t="s">
        <v>101</v>
      </c>
      <c r="C3493" s="280">
        <v>14</v>
      </c>
      <c r="D3493" s="280">
        <v>1</v>
      </c>
      <c r="E3493" s="280">
        <v>5</v>
      </c>
      <c r="F3493" s="282"/>
      <c r="G3493" s="282"/>
      <c r="H3493" s="282"/>
      <c r="I3493" s="283">
        <f>PRODUCT(C3493:H3493)</f>
        <v>70</v>
      </c>
      <c r="J3493" s="278"/>
      <c r="K3493" s="46"/>
      <c r="L3493" s="46"/>
      <c r="M3493" s="46"/>
    </row>
    <row r="3494" spans="1:13" s="45" customFormat="1" ht="18.75" customHeight="1">
      <c r="A3494" s="278"/>
      <c r="B3494" s="279"/>
      <c r="C3494" s="280"/>
      <c r="D3494" s="280"/>
      <c r="E3494" s="280"/>
      <c r="F3494" s="282"/>
      <c r="G3494" s="282"/>
      <c r="H3494" s="282"/>
      <c r="I3494" s="416">
        <f>SUM(I3487:I3493)</f>
        <v>800</v>
      </c>
      <c r="J3494" s="288" t="s">
        <v>23</v>
      </c>
      <c r="K3494" s="47"/>
      <c r="L3494" s="47"/>
      <c r="M3494" s="47"/>
    </row>
    <row r="3495" spans="1:13" s="45" customFormat="1" ht="18.75" customHeight="1">
      <c r="A3495" s="278"/>
      <c r="B3495" s="286" t="s">
        <v>169</v>
      </c>
      <c r="C3495" s="280">
        <v>1</v>
      </c>
      <c r="D3495" s="280">
        <v>1</v>
      </c>
      <c r="E3495" s="280">
        <v>100</v>
      </c>
      <c r="F3495" s="282"/>
      <c r="G3495" s="282"/>
      <c r="H3495" s="282"/>
      <c r="I3495" s="416">
        <f>PRODUCT(C3495:H3495)</f>
        <v>100</v>
      </c>
      <c r="J3495" s="288" t="s">
        <v>23</v>
      </c>
      <c r="K3495" s="47"/>
      <c r="L3495" s="47"/>
      <c r="M3495" s="47"/>
    </row>
    <row r="3496" spans="1:13" s="45" customFormat="1" ht="30" customHeight="1">
      <c r="A3496" s="288">
        <v>65.099999999999994</v>
      </c>
      <c r="B3496" s="286" t="s">
        <v>168</v>
      </c>
      <c r="C3496" s="280"/>
      <c r="D3496" s="280"/>
      <c r="E3496" s="280"/>
      <c r="F3496" s="282"/>
      <c r="G3496" s="282"/>
      <c r="H3496" s="282"/>
      <c r="I3496" s="416"/>
      <c r="J3496" s="278"/>
      <c r="K3496" s="46"/>
      <c r="L3496" s="46"/>
      <c r="M3496" s="46"/>
    </row>
    <row r="3497" spans="1:13" s="45" customFormat="1" ht="20.25" customHeight="1">
      <c r="A3497" s="288"/>
      <c r="B3497" s="279" t="s">
        <v>159</v>
      </c>
      <c r="C3497" s="280">
        <v>1</v>
      </c>
      <c r="D3497" s="280">
        <v>1</v>
      </c>
      <c r="E3497" s="280">
        <v>5</v>
      </c>
      <c r="F3497" s="282"/>
      <c r="G3497" s="282"/>
      <c r="H3497" s="282"/>
      <c r="I3497" s="283">
        <f>PRODUCT(C3497:H3497)</f>
        <v>5</v>
      </c>
      <c r="J3497" s="278"/>
      <c r="K3497" s="46"/>
      <c r="L3497" s="46"/>
      <c r="M3497" s="46"/>
    </row>
    <row r="3498" spans="1:13" s="45" customFormat="1" ht="23.25" customHeight="1">
      <c r="A3498" s="278"/>
      <c r="B3498" s="279" t="s">
        <v>158</v>
      </c>
      <c r="C3498" s="280">
        <v>100</v>
      </c>
      <c r="D3498" s="280">
        <v>1</v>
      </c>
      <c r="E3498" s="280">
        <v>2</v>
      </c>
      <c r="F3498" s="282"/>
      <c r="G3498" s="282"/>
      <c r="H3498" s="282"/>
      <c r="I3498" s="283">
        <f>PRODUCT(C3498:H3498)</f>
        <v>200</v>
      </c>
      <c r="J3498" s="278"/>
      <c r="K3498" s="46"/>
      <c r="L3498" s="46"/>
      <c r="M3498" s="46"/>
    </row>
    <row r="3499" spans="1:13" s="45" customFormat="1" ht="23.25" customHeight="1">
      <c r="A3499" s="278"/>
      <c r="B3499" s="279" t="s">
        <v>157</v>
      </c>
      <c r="C3499" s="280">
        <v>100</v>
      </c>
      <c r="D3499" s="280">
        <v>1</v>
      </c>
      <c r="E3499" s="280">
        <v>2</v>
      </c>
      <c r="F3499" s="282"/>
      <c r="G3499" s="282"/>
      <c r="H3499" s="282"/>
      <c r="I3499" s="283">
        <f>PRODUCT(C3499:H3499)</f>
        <v>200</v>
      </c>
      <c r="J3499" s="278"/>
      <c r="K3499" s="46"/>
      <c r="L3499" s="46"/>
      <c r="M3499" s="46"/>
    </row>
    <row r="3500" spans="1:13" s="45" customFormat="1" ht="23.25" customHeight="1">
      <c r="A3500" s="278"/>
      <c r="B3500" s="279"/>
      <c r="C3500" s="280"/>
      <c r="D3500" s="280"/>
      <c r="E3500" s="280"/>
      <c r="F3500" s="282"/>
      <c r="G3500" s="282"/>
      <c r="H3500" s="282"/>
      <c r="I3500" s="416">
        <f>SUM(I3497:I3499)</f>
        <v>405</v>
      </c>
      <c r="J3500" s="288" t="s">
        <v>23</v>
      </c>
      <c r="K3500" s="47"/>
      <c r="L3500" s="47"/>
      <c r="M3500" s="47"/>
    </row>
    <row r="3501" spans="1:13" s="45" customFormat="1" ht="33" customHeight="1">
      <c r="A3501" s="288">
        <v>66.099999999999994</v>
      </c>
      <c r="B3501" s="286" t="s">
        <v>167</v>
      </c>
      <c r="C3501" s="280"/>
      <c r="D3501" s="280"/>
      <c r="E3501" s="280"/>
      <c r="F3501" s="282"/>
      <c r="G3501" s="282"/>
      <c r="H3501" s="282"/>
      <c r="I3501" s="416"/>
      <c r="J3501" s="278"/>
      <c r="K3501" s="46"/>
      <c r="L3501" s="46"/>
      <c r="M3501" s="46"/>
    </row>
    <row r="3502" spans="1:13" s="45" customFormat="1" ht="23.25" customHeight="1">
      <c r="A3502" s="278"/>
      <c r="B3502" s="279" t="s">
        <v>1297</v>
      </c>
      <c r="C3502" s="280">
        <v>11</v>
      </c>
      <c r="D3502" s="280">
        <v>3</v>
      </c>
      <c r="E3502" s="280">
        <v>2</v>
      </c>
      <c r="F3502" s="282"/>
      <c r="G3502" s="282"/>
      <c r="H3502" s="282"/>
      <c r="I3502" s="283">
        <f>PRODUCT(C3502:H3502)</f>
        <v>66</v>
      </c>
      <c r="J3502" s="288"/>
      <c r="K3502" s="47"/>
      <c r="L3502" s="47"/>
      <c r="M3502" s="47"/>
    </row>
    <row r="3503" spans="1:13" s="45" customFormat="1" ht="23.25" customHeight="1">
      <c r="A3503" s="278"/>
      <c r="B3503" s="279" t="s">
        <v>166</v>
      </c>
      <c r="C3503" s="280">
        <v>1</v>
      </c>
      <c r="D3503" s="280">
        <v>3</v>
      </c>
      <c r="E3503" s="280">
        <v>1</v>
      </c>
      <c r="F3503" s="282"/>
      <c r="G3503" s="282"/>
      <c r="H3503" s="282"/>
      <c r="I3503" s="283">
        <f>PRODUCT(C3503:H3503)</f>
        <v>3</v>
      </c>
      <c r="J3503" s="288"/>
      <c r="K3503" s="47"/>
      <c r="L3503" s="47"/>
      <c r="M3503" s="47"/>
    </row>
    <row r="3504" spans="1:13" s="45" customFormat="1" ht="23.25" customHeight="1">
      <c r="A3504" s="278"/>
      <c r="B3504" s="279"/>
      <c r="C3504" s="280"/>
      <c r="D3504" s="280"/>
      <c r="E3504" s="280"/>
      <c r="F3504" s="282"/>
      <c r="G3504" s="589" t="s">
        <v>60</v>
      </c>
      <c r="H3504" s="590"/>
      <c r="I3504" s="416">
        <f>SUM(I3502:I3503)</f>
        <v>69</v>
      </c>
      <c r="J3504" s="288" t="s">
        <v>23</v>
      </c>
      <c r="K3504" s="47"/>
      <c r="L3504" s="47"/>
      <c r="M3504" s="47"/>
    </row>
    <row r="3505" spans="1:13" s="45" customFormat="1" ht="33" customHeight="1">
      <c r="A3505" s="288">
        <v>66.099999999999994</v>
      </c>
      <c r="B3505" s="286" t="s">
        <v>165</v>
      </c>
      <c r="C3505" s="280"/>
      <c r="D3505" s="280"/>
      <c r="E3505" s="280"/>
      <c r="F3505" s="282"/>
      <c r="G3505" s="282"/>
      <c r="H3505" s="282"/>
      <c r="I3505" s="416"/>
      <c r="J3505" s="278"/>
      <c r="K3505" s="46"/>
      <c r="L3505" s="46"/>
      <c r="M3505" s="46"/>
    </row>
    <row r="3506" spans="1:13" s="45" customFormat="1" ht="19.5" customHeight="1">
      <c r="A3506" s="288"/>
      <c r="B3506" s="279" t="s">
        <v>158</v>
      </c>
      <c r="C3506" s="280">
        <v>100</v>
      </c>
      <c r="D3506" s="280">
        <v>1</v>
      </c>
      <c r="E3506" s="280">
        <v>1</v>
      </c>
      <c r="F3506" s="282"/>
      <c r="G3506" s="282"/>
      <c r="H3506" s="282"/>
      <c r="I3506" s="283">
        <f>PRODUCT(C3506:H3506)</f>
        <v>100</v>
      </c>
      <c r="J3506" s="278"/>
      <c r="K3506" s="46"/>
      <c r="L3506" s="46"/>
      <c r="M3506" s="46"/>
    </row>
    <row r="3507" spans="1:13" s="45" customFormat="1" ht="19.5" customHeight="1">
      <c r="A3507" s="288"/>
      <c r="B3507" s="279" t="s">
        <v>162</v>
      </c>
      <c r="C3507" s="280">
        <v>100</v>
      </c>
      <c r="D3507" s="280">
        <v>1</v>
      </c>
      <c r="E3507" s="280">
        <v>2</v>
      </c>
      <c r="F3507" s="282"/>
      <c r="G3507" s="282"/>
      <c r="H3507" s="282"/>
      <c r="I3507" s="283">
        <f>PRODUCT(C3507:H3507)</f>
        <v>200</v>
      </c>
      <c r="J3507" s="278"/>
      <c r="K3507" s="46"/>
      <c r="L3507" s="46"/>
      <c r="M3507" s="46"/>
    </row>
    <row r="3508" spans="1:13" s="45" customFormat="1" ht="19.5" customHeight="1">
      <c r="A3508" s="288"/>
      <c r="B3508" s="279" t="s">
        <v>164</v>
      </c>
      <c r="C3508" s="280">
        <v>100</v>
      </c>
      <c r="D3508" s="280">
        <v>1</v>
      </c>
      <c r="E3508" s="280">
        <v>1</v>
      </c>
      <c r="F3508" s="282"/>
      <c r="G3508" s="282"/>
      <c r="H3508" s="282"/>
      <c r="I3508" s="283">
        <f>PRODUCT(C3508:H3508)</f>
        <v>100</v>
      </c>
      <c r="J3508" s="278"/>
      <c r="K3508" s="46"/>
      <c r="L3508" s="46"/>
      <c r="M3508" s="46"/>
    </row>
    <row r="3509" spans="1:13" s="45" customFormat="1" ht="19.5" customHeight="1">
      <c r="A3509" s="288"/>
      <c r="B3509" s="279" t="s">
        <v>83</v>
      </c>
      <c r="C3509" s="280">
        <v>100</v>
      </c>
      <c r="D3509" s="280">
        <v>1</v>
      </c>
      <c r="E3509" s="280">
        <v>1</v>
      </c>
      <c r="F3509" s="282"/>
      <c r="G3509" s="282"/>
      <c r="H3509" s="282"/>
      <c r="I3509" s="283">
        <f>PRODUCT(C3509:H3509)</f>
        <v>100</v>
      </c>
      <c r="J3509" s="278"/>
      <c r="K3509" s="46"/>
      <c r="L3509" s="46"/>
      <c r="M3509" s="46"/>
    </row>
    <row r="3510" spans="1:13" s="45" customFormat="1" ht="19.5" customHeight="1">
      <c r="A3510" s="288"/>
      <c r="B3510" s="279" t="s">
        <v>156</v>
      </c>
      <c r="C3510" s="280">
        <v>1</v>
      </c>
      <c r="D3510" s="280">
        <v>1</v>
      </c>
      <c r="E3510" s="280">
        <v>7</v>
      </c>
      <c r="F3510" s="282"/>
      <c r="G3510" s="282"/>
      <c r="H3510" s="282"/>
      <c r="I3510" s="283">
        <f>PRODUCT(C3510:H3510)</f>
        <v>7</v>
      </c>
      <c r="J3510" s="278"/>
      <c r="K3510" s="46"/>
      <c r="L3510" s="46"/>
      <c r="M3510" s="46"/>
    </row>
    <row r="3511" spans="1:13" s="45" customFormat="1" ht="19.5" customHeight="1">
      <c r="A3511" s="278"/>
      <c r="B3511" s="279"/>
      <c r="C3511" s="280"/>
      <c r="D3511" s="280"/>
      <c r="E3511" s="280"/>
      <c r="F3511" s="282"/>
      <c r="G3511" s="282"/>
      <c r="H3511" s="282"/>
      <c r="I3511" s="416">
        <f>SUM(I3506:I3510)</f>
        <v>507</v>
      </c>
      <c r="J3511" s="288" t="s">
        <v>23</v>
      </c>
      <c r="K3511" s="47"/>
      <c r="L3511" s="47"/>
      <c r="M3511" s="47"/>
    </row>
    <row r="3512" spans="1:13" s="45" customFormat="1" ht="31.5" customHeight="1">
      <c r="A3512" s="288">
        <v>68.2</v>
      </c>
      <c r="B3512" s="286" t="s">
        <v>163</v>
      </c>
      <c r="C3512" s="280"/>
      <c r="D3512" s="280"/>
      <c r="E3512" s="280"/>
      <c r="F3512" s="282"/>
      <c r="G3512" s="282"/>
      <c r="H3512" s="282"/>
      <c r="I3512" s="416"/>
      <c r="J3512" s="278"/>
      <c r="K3512" s="46"/>
      <c r="L3512" s="46"/>
      <c r="M3512" s="46"/>
    </row>
    <row r="3513" spans="1:13" s="45" customFormat="1" ht="19.5" customHeight="1">
      <c r="A3513" s="288"/>
      <c r="B3513" s="279" t="s">
        <v>158</v>
      </c>
      <c r="C3513" s="280">
        <v>100</v>
      </c>
      <c r="D3513" s="280">
        <v>1</v>
      </c>
      <c r="E3513" s="280">
        <v>3</v>
      </c>
      <c r="F3513" s="282"/>
      <c r="G3513" s="282"/>
      <c r="H3513" s="282"/>
      <c r="I3513" s="283">
        <f>PRODUCT(C3513:H3513)</f>
        <v>300</v>
      </c>
      <c r="J3513" s="278"/>
      <c r="K3513" s="46"/>
      <c r="L3513" s="46"/>
      <c r="M3513" s="46"/>
    </row>
    <row r="3514" spans="1:13" s="45" customFormat="1" ht="19.5" customHeight="1">
      <c r="A3514" s="288"/>
      <c r="B3514" s="279" t="s">
        <v>162</v>
      </c>
      <c r="C3514" s="280">
        <v>100</v>
      </c>
      <c r="D3514" s="280">
        <v>1</v>
      </c>
      <c r="E3514" s="280">
        <v>2</v>
      </c>
      <c r="F3514" s="282"/>
      <c r="G3514" s="282"/>
      <c r="H3514" s="282"/>
      <c r="I3514" s="283">
        <f>PRODUCT(C3514:H3514)</f>
        <v>200</v>
      </c>
      <c r="J3514" s="278"/>
      <c r="K3514" s="46"/>
      <c r="L3514" s="46"/>
      <c r="M3514" s="46"/>
    </row>
    <row r="3515" spans="1:13" s="45" customFormat="1" ht="19.5" customHeight="1">
      <c r="A3515" s="288"/>
      <c r="B3515" s="279" t="s">
        <v>79</v>
      </c>
      <c r="C3515" s="280">
        <v>100</v>
      </c>
      <c r="D3515" s="280">
        <v>1</v>
      </c>
      <c r="E3515" s="280">
        <v>1</v>
      </c>
      <c r="F3515" s="282"/>
      <c r="G3515" s="282"/>
      <c r="H3515" s="282"/>
      <c r="I3515" s="283">
        <f>PRODUCT(C3515:H3515)</f>
        <v>100</v>
      </c>
      <c r="J3515" s="278"/>
      <c r="K3515" s="46"/>
      <c r="L3515" s="46"/>
      <c r="M3515" s="46"/>
    </row>
    <row r="3516" spans="1:13" s="45" customFormat="1" ht="16.5">
      <c r="A3516" s="278"/>
      <c r="B3516" s="279"/>
      <c r="C3516" s="280"/>
      <c r="D3516" s="280"/>
      <c r="E3516" s="280"/>
      <c r="F3516" s="282"/>
      <c r="G3516" s="282"/>
      <c r="H3516" s="282"/>
      <c r="I3516" s="416">
        <f>SUM(I3513:I3515)</f>
        <v>600</v>
      </c>
      <c r="J3516" s="288" t="s">
        <v>23</v>
      </c>
      <c r="K3516" s="47"/>
      <c r="L3516" s="47"/>
      <c r="M3516" s="47"/>
    </row>
    <row r="3517" spans="1:13" s="45" customFormat="1" ht="31.5">
      <c r="A3517" s="288">
        <v>75.2</v>
      </c>
      <c r="B3517" s="286" t="s">
        <v>161</v>
      </c>
      <c r="C3517" s="280"/>
      <c r="D3517" s="280"/>
      <c r="E3517" s="280"/>
      <c r="F3517" s="282"/>
      <c r="G3517" s="282"/>
      <c r="H3517" s="282"/>
      <c r="I3517" s="283"/>
      <c r="J3517" s="278"/>
      <c r="K3517" s="371"/>
      <c r="L3517" s="371"/>
      <c r="M3517" s="371"/>
    </row>
    <row r="3518" spans="1:13" s="45" customFormat="1" ht="16.5">
      <c r="A3518" s="278"/>
      <c r="B3518" s="286" t="s">
        <v>160</v>
      </c>
      <c r="C3518" s="280"/>
      <c r="D3518" s="280"/>
      <c r="E3518" s="280"/>
      <c r="F3518" s="282"/>
      <c r="G3518" s="282"/>
      <c r="H3518" s="282"/>
      <c r="I3518" s="283"/>
      <c r="J3518" s="278"/>
      <c r="K3518" s="371"/>
      <c r="L3518" s="371"/>
      <c r="M3518" s="371"/>
    </row>
    <row r="3519" spans="1:13" s="45" customFormat="1" ht="16.5">
      <c r="A3519" s="288"/>
      <c r="B3519" s="279" t="s">
        <v>159</v>
      </c>
      <c r="C3519" s="280">
        <v>1</v>
      </c>
      <c r="D3519" s="280">
        <v>1</v>
      </c>
      <c r="E3519" s="280">
        <v>5</v>
      </c>
      <c r="F3519" s="282"/>
      <c r="G3519" s="282"/>
      <c r="H3519" s="282"/>
      <c r="I3519" s="283">
        <f>PRODUCT(C3519:H3519)</f>
        <v>5</v>
      </c>
      <c r="J3519" s="278"/>
      <c r="K3519" s="371"/>
      <c r="L3519" s="371"/>
      <c r="M3519" s="371"/>
    </row>
    <row r="3520" spans="1:13" s="45" customFormat="1" ht="16.5">
      <c r="A3520" s="278"/>
      <c r="B3520" s="279" t="s">
        <v>158</v>
      </c>
      <c r="C3520" s="280">
        <v>100</v>
      </c>
      <c r="D3520" s="280">
        <v>1</v>
      </c>
      <c r="E3520" s="280">
        <v>2</v>
      </c>
      <c r="F3520" s="282"/>
      <c r="G3520" s="282"/>
      <c r="H3520" s="282"/>
      <c r="I3520" s="283">
        <f>PRODUCT(C3520:H3520)</f>
        <v>200</v>
      </c>
      <c r="J3520" s="278"/>
      <c r="K3520" s="371"/>
      <c r="L3520" s="371"/>
      <c r="M3520" s="371"/>
    </row>
    <row r="3521" spans="1:13" s="45" customFormat="1" ht="16.5">
      <c r="A3521" s="278"/>
      <c r="B3521" s="279" t="s">
        <v>157</v>
      </c>
      <c r="C3521" s="280">
        <v>100</v>
      </c>
      <c r="D3521" s="280">
        <v>1</v>
      </c>
      <c r="E3521" s="280">
        <v>2</v>
      </c>
      <c r="F3521" s="282"/>
      <c r="G3521" s="282"/>
      <c r="H3521" s="282"/>
      <c r="I3521" s="283">
        <f>PRODUCT(C3521:H3521)</f>
        <v>200</v>
      </c>
      <c r="J3521" s="278"/>
      <c r="K3521" s="371"/>
      <c r="L3521" s="371"/>
      <c r="M3521" s="371"/>
    </row>
    <row r="3522" spans="1:13" s="45" customFormat="1" ht="16.5">
      <c r="A3522" s="278"/>
      <c r="B3522" s="279" t="s">
        <v>156</v>
      </c>
      <c r="C3522" s="280">
        <v>1</v>
      </c>
      <c r="D3522" s="280">
        <v>1</v>
      </c>
      <c r="E3522" s="280">
        <v>3</v>
      </c>
      <c r="F3522" s="282"/>
      <c r="G3522" s="282"/>
      <c r="H3522" s="282"/>
      <c r="I3522" s="283">
        <f>PRODUCT(C3522:H3522)</f>
        <v>3</v>
      </c>
      <c r="J3522" s="278"/>
      <c r="K3522" s="371"/>
      <c r="L3522" s="371"/>
      <c r="M3522" s="371"/>
    </row>
    <row r="3523" spans="1:13" s="45" customFormat="1" ht="16.5">
      <c r="A3523" s="278"/>
      <c r="B3523" s="279"/>
      <c r="C3523" s="280"/>
      <c r="D3523" s="280"/>
      <c r="E3523" s="280"/>
      <c r="F3523" s="282"/>
      <c r="G3523" s="282"/>
      <c r="H3523" s="282"/>
      <c r="I3523" s="416">
        <f>SUM(I3519:I3522)</f>
        <v>408</v>
      </c>
      <c r="J3523" s="288" t="s">
        <v>23</v>
      </c>
      <c r="K3523" s="372"/>
      <c r="L3523" s="372"/>
      <c r="M3523" s="372"/>
    </row>
    <row r="3524" spans="1:13" s="367" customFormat="1" ht="66">
      <c r="A3524" s="395">
        <v>77.599999999999994</v>
      </c>
      <c r="B3524" s="396" t="s">
        <v>48</v>
      </c>
      <c r="C3524" s="397"/>
      <c r="D3524" s="397"/>
      <c r="E3524" s="397"/>
      <c r="F3524" s="398"/>
      <c r="G3524" s="398"/>
      <c r="H3524" s="398"/>
      <c r="I3524" s="399"/>
      <c r="J3524" s="396"/>
    </row>
    <row r="3525" spans="1:13" s="367" customFormat="1" ht="21.75" customHeight="1">
      <c r="A3525" s="395"/>
      <c r="B3525" s="396" t="s">
        <v>1587</v>
      </c>
      <c r="C3525" s="397"/>
      <c r="D3525" s="397"/>
      <c r="E3525" s="397"/>
      <c r="F3525" s="398"/>
      <c r="G3525" s="398"/>
      <c r="H3525" s="398"/>
      <c r="I3525" s="399"/>
      <c r="J3525" s="396"/>
    </row>
    <row r="3526" spans="1:13" s="367" customFormat="1" ht="22.5" customHeight="1">
      <c r="A3526" s="395"/>
      <c r="B3526" s="401" t="s">
        <v>88</v>
      </c>
      <c r="C3526" s="397">
        <v>1</v>
      </c>
      <c r="D3526" s="397">
        <v>1</v>
      </c>
      <c r="E3526" s="397">
        <v>100</v>
      </c>
      <c r="F3526" s="410">
        <v>9</v>
      </c>
      <c r="G3526" s="410" t="s">
        <v>26</v>
      </c>
      <c r="H3526" s="410" t="s">
        <v>26</v>
      </c>
      <c r="I3526" s="399">
        <f>PRODUCT(C3526:H3526)</f>
        <v>900</v>
      </c>
      <c r="J3526" s="396"/>
    </row>
    <row r="3527" spans="1:13" s="367" customFormat="1" ht="22.5" customHeight="1">
      <c r="A3527" s="395"/>
      <c r="B3527" s="401" t="s">
        <v>1588</v>
      </c>
      <c r="C3527" s="397">
        <v>1</v>
      </c>
      <c r="D3527" s="397">
        <v>1</v>
      </c>
      <c r="E3527" s="397">
        <v>100</v>
      </c>
      <c r="F3527" s="410">
        <v>5</v>
      </c>
      <c r="G3527" s="410" t="s">
        <v>26</v>
      </c>
      <c r="H3527" s="410" t="s">
        <v>26</v>
      </c>
      <c r="I3527" s="399">
        <f>PRODUCT(C3527:H3527)</f>
        <v>500</v>
      </c>
      <c r="J3527" s="396"/>
    </row>
    <row r="3528" spans="1:13" s="367" customFormat="1" ht="22.5" customHeight="1">
      <c r="A3528" s="395"/>
      <c r="B3528" s="401" t="s">
        <v>1589</v>
      </c>
      <c r="C3528" s="397">
        <v>1</v>
      </c>
      <c r="D3528" s="397">
        <v>1</v>
      </c>
      <c r="E3528" s="397">
        <v>100</v>
      </c>
      <c r="F3528" s="410">
        <v>2</v>
      </c>
      <c r="G3528" s="410" t="s">
        <v>26</v>
      </c>
      <c r="H3528" s="410" t="s">
        <v>26</v>
      </c>
      <c r="I3528" s="399">
        <f>PRODUCT(C3528:H3528)</f>
        <v>200</v>
      </c>
      <c r="J3528" s="396"/>
    </row>
    <row r="3529" spans="1:13" s="367" customFormat="1" ht="22.5" customHeight="1">
      <c r="A3529" s="395"/>
      <c r="B3529" s="401" t="s">
        <v>1590</v>
      </c>
      <c r="C3529" s="397">
        <v>1</v>
      </c>
      <c r="D3529" s="397">
        <v>1</v>
      </c>
      <c r="E3529" s="397">
        <v>100</v>
      </c>
      <c r="F3529" s="410">
        <v>3</v>
      </c>
      <c r="G3529" s="410" t="s">
        <v>26</v>
      </c>
      <c r="H3529" s="410" t="s">
        <v>26</v>
      </c>
      <c r="I3529" s="399">
        <f>PRODUCT(C3529:H3529)</f>
        <v>300</v>
      </c>
      <c r="J3529" s="396"/>
    </row>
    <row r="3530" spans="1:13" s="367" customFormat="1" ht="22.5" customHeight="1">
      <c r="A3530" s="395"/>
      <c r="B3530" s="401" t="s">
        <v>1591</v>
      </c>
      <c r="C3530" s="397">
        <v>1</v>
      </c>
      <c r="D3530" s="397">
        <v>2</v>
      </c>
      <c r="E3530" s="397">
        <v>100</v>
      </c>
      <c r="F3530" s="410">
        <v>5</v>
      </c>
      <c r="G3530" s="410" t="s">
        <v>26</v>
      </c>
      <c r="H3530" s="410" t="s">
        <v>26</v>
      </c>
      <c r="I3530" s="399">
        <f>PRODUCT(C3530:H3530)</f>
        <v>1000</v>
      </c>
      <c r="J3530" s="396"/>
    </row>
    <row r="3531" spans="1:13" s="367" customFormat="1" ht="22.5" customHeight="1">
      <c r="A3531" s="395"/>
      <c r="B3531" s="396" t="s">
        <v>1592</v>
      </c>
      <c r="C3531" s="397"/>
      <c r="D3531" s="397"/>
      <c r="E3531" s="397"/>
      <c r="F3531" s="410"/>
      <c r="G3531" s="410"/>
      <c r="H3531" s="410"/>
      <c r="I3531" s="399"/>
      <c r="J3531" s="396"/>
    </row>
    <row r="3532" spans="1:13" s="367" customFormat="1" ht="22.5" customHeight="1">
      <c r="A3532" s="395"/>
      <c r="B3532" s="396" t="s">
        <v>216</v>
      </c>
      <c r="C3532" s="397"/>
      <c r="D3532" s="397"/>
      <c r="E3532" s="397"/>
      <c r="F3532" s="398"/>
      <c r="G3532" s="398"/>
      <c r="H3532" s="398"/>
      <c r="I3532" s="399"/>
      <c r="J3532" s="396"/>
    </row>
    <row r="3533" spans="1:13" s="367" customFormat="1" ht="22.5" customHeight="1">
      <c r="A3533" s="395"/>
      <c r="B3533" s="401" t="s">
        <v>1593</v>
      </c>
      <c r="C3533" s="397">
        <v>1</v>
      </c>
      <c r="D3533" s="397">
        <v>1</v>
      </c>
      <c r="E3533" s="397">
        <v>2</v>
      </c>
      <c r="F3533" s="410">
        <v>11</v>
      </c>
      <c r="G3533" s="398" t="s">
        <v>26</v>
      </c>
      <c r="H3533" s="398" t="s">
        <v>26</v>
      </c>
      <c r="I3533" s="399">
        <f>PRODUCT(C3533:H3533)</f>
        <v>22</v>
      </c>
      <c r="J3533" s="396"/>
    </row>
    <row r="3534" spans="1:13" s="367" customFormat="1" ht="22.5" customHeight="1">
      <c r="A3534" s="395"/>
      <c r="B3534" s="401" t="s">
        <v>1373</v>
      </c>
      <c r="C3534" s="397">
        <v>1</v>
      </c>
      <c r="D3534" s="397">
        <v>1</v>
      </c>
      <c r="E3534" s="397">
        <v>3</v>
      </c>
      <c r="F3534" s="410">
        <v>10</v>
      </c>
      <c r="G3534" s="398" t="s">
        <v>26</v>
      </c>
      <c r="H3534" s="398" t="s">
        <v>26</v>
      </c>
      <c r="I3534" s="399">
        <f>PRODUCT(C3534:H3534)</f>
        <v>30</v>
      </c>
      <c r="J3534" s="396"/>
    </row>
    <row r="3535" spans="1:13" s="367" customFormat="1" ht="22.5" customHeight="1">
      <c r="A3535" s="395"/>
      <c r="B3535" s="401" t="s">
        <v>1594</v>
      </c>
      <c r="C3535" s="397">
        <v>1</v>
      </c>
      <c r="D3535" s="397">
        <v>1</v>
      </c>
      <c r="E3535" s="397">
        <v>1</v>
      </c>
      <c r="F3535" s="410">
        <v>10</v>
      </c>
      <c r="G3535" s="398" t="s">
        <v>26</v>
      </c>
      <c r="H3535" s="398" t="s">
        <v>26</v>
      </c>
      <c r="I3535" s="399">
        <f>PRODUCT(C3535:H3535)</f>
        <v>10</v>
      </c>
      <c r="J3535" s="396"/>
    </row>
    <row r="3536" spans="1:13" s="367" customFormat="1" ht="22.5" customHeight="1">
      <c r="A3536" s="395"/>
      <c r="B3536" s="396" t="s">
        <v>1336</v>
      </c>
      <c r="C3536" s="397"/>
      <c r="D3536" s="397"/>
      <c r="E3536" s="397"/>
      <c r="F3536" s="398"/>
      <c r="G3536" s="398"/>
      <c r="H3536" s="398"/>
      <c r="I3536" s="399"/>
      <c r="J3536" s="396"/>
    </row>
    <row r="3537" spans="1:10" s="367" customFormat="1" ht="22.5" customHeight="1">
      <c r="A3537" s="395"/>
      <c r="B3537" s="401" t="s">
        <v>89</v>
      </c>
      <c r="C3537" s="397">
        <v>1</v>
      </c>
      <c r="D3537" s="397">
        <v>1</v>
      </c>
      <c r="E3537" s="397">
        <v>100</v>
      </c>
      <c r="F3537" s="410">
        <v>3</v>
      </c>
      <c r="G3537" s="398" t="s">
        <v>26</v>
      </c>
      <c r="H3537" s="398" t="s">
        <v>26</v>
      </c>
      <c r="I3537" s="399">
        <f t="shared" ref="I3537:I3546" si="159">PRODUCT(C3537:H3537)</f>
        <v>300</v>
      </c>
      <c r="J3537" s="396"/>
    </row>
    <row r="3538" spans="1:10" s="367" customFormat="1" ht="22.5" customHeight="1">
      <c r="A3538" s="395"/>
      <c r="B3538" s="401" t="s">
        <v>1585</v>
      </c>
      <c r="C3538" s="397">
        <v>1</v>
      </c>
      <c r="D3538" s="397">
        <v>1</v>
      </c>
      <c r="E3538" s="397">
        <v>100</v>
      </c>
      <c r="F3538" s="410">
        <v>7</v>
      </c>
      <c r="G3538" s="398" t="s">
        <v>26</v>
      </c>
      <c r="H3538" s="398" t="s">
        <v>26</v>
      </c>
      <c r="I3538" s="399">
        <f t="shared" si="159"/>
        <v>700</v>
      </c>
      <c r="J3538" s="396"/>
    </row>
    <row r="3539" spans="1:10" s="367" customFormat="1" ht="22.5" customHeight="1">
      <c r="A3539" s="395"/>
      <c r="B3539" s="401" t="s">
        <v>430</v>
      </c>
      <c r="C3539" s="397">
        <v>1</v>
      </c>
      <c r="D3539" s="397">
        <v>1</v>
      </c>
      <c r="E3539" s="397">
        <v>100</v>
      </c>
      <c r="F3539" s="410">
        <v>8</v>
      </c>
      <c r="G3539" s="398" t="s">
        <v>26</v>
      </c>
      <c r="H3539" s="398" t="s">
        <v>26</v>
      </c>
      <c r="I3539" s="399">
        <f t="shared" si="159"/>
        <v>800</v>
      </c>
      <c r="J3539" s="396"/>
    </row>
    <row r="3540" spans="1:10" s="367" customFormat="1" ht="22.5" customHeight="1">
      <c r="A3540" s="395"/>
      <c r="B3540" s="401" t="s">
        <v>428</v>
      </c>
      <c r="C3540" s="397">
        <v>1</v>
      </c>
      <c r="D3540" s="397">
        <v>1</v>
      </c>
      <c r="E3540" s="397">
        <v>100</v>
      </c>
      <c r="F3540" s="410">
        <v>9</v>
      </c>
      <c r="G3540" s="398" t="s">
        <v>26</v>
      </c>
      <c r="H3540" s="398" t="s">
        <v>26</v>
      </c>
      <c r="I3540" s="399">
        <f t="shared" si="159"/>
        <v>900</v>
      </c>
      <c r="J3540" s="396"/>
    </row>
    <row r="3541" spans="1:10" s="367" customFormat="1" ht="22.5" customHeight="1">
      <c r="A3541" s="395"/>
      <c r="B3541" s="401" t="s">
        <v>79</v>
      </c>
      <c r="C3541" s="397">
        <v>1</v>
      </c>
      <c r="D3541" s="397">
        <v>1</v>
      </c>
      <c r="E3541" s="397">
        <v>100</v>
      </c>
      <c r="F3541" s="410">
        <v>12</v>
      </c>
      <c r="G3541" s="398" t="s">
        <v>26</v>
      </c>
      <c r="H3541" s="398" t="s">
        <v>26</v>
      </c>
      <c r="I3541" s="399">
        <f t="shared" si="159"/>
        <v>1200</v>
      </c>
      <c r="J3541" s="396"/>
    </row>
    <row r="3542" spans="1:10" s="367" customFormat="1" ht="22.5" customHeight="1">
      <c r="A3542" s="395"/>
      <c r="B3542" s="396" t="s">
        <v>1374</v>
      </c>
      <c r="C3542" s="397"/>
      <c r="D3542" s="397"/>
      <c r="E3542" s="397"/>
      <c r="F3542" s="410"/>
      <c r="G3542" s="398"/>
      <c r="H3542" s="398"/>
      <c r="I3542" s="399"/>
      <c r="J3542" s="396"/>
    </row>
    <row r="3543" spans="1:10" s="367" customFormat="1" ht="22.5" customHeight="1">
      <c r="A3543" s="395"/>
      <c r="B3543" s="401" t="s">
        <v>1595</v>
      </c>
      <c r="C3543" s="397">
        <v>1</v>
      </c>
      <c r="D3543" s="397">
        <v>1</v>
      </c>
      <c r="E3543" s="397">
        <v>11</v>
      </c>
      <c r="F3543" s="410">
        <v>6</v>
      </c>
      <c r="G3543" s="398" t="s">
        <v>26</v>
      </c>
      <c r="H3543" s="398" t="s">
        <v>26</v>
      </c>
      <c r="I3543" s="399">
        <f t="shared" si="159"/>
        <v>66</v>
      </c>
      <c r="J3543" s="396"/>
    </row>
    <row r="3544" spans="1:10" s="367" customFormat="1" ht="22.5" customHeight="1">
      <c r="A3544" s="395"/>
      <c r="B3544" s="396" t="s">
        <v>1596</v>
      </c>
      <c r="C3544" s="397"/>
      <c r="D3544" s="397"/>
      <c r="E3544" s="397"/>
      <c r="F3544" s="410"/>
      <c r="G3544" s="398"/>
      <c r="H3544" s="398"/>
      <c r="I3544" s="399"/>
      <c r="J3544" s="396"/>
    </row>
    <row r="3545" spans="1:10" s="367" customFormat="1" ht="22.5" customHeight="1">
      <c r="A3545" s="395"/>
      <c r="B3545" s="401" t="s">
        <v>1597</v>
      </c>
      <c r="C3545" s="397">
        <v>1</v>
      </c>
      <c r="D3545" s="397">
        <v>1</v>
      </c>
      <c r="E3545" s="397">
        <v>3</v>
      </c>
      <c r="F3545" s="410">
        <v>20</v>
      </c>
      <c r="G3545" s="398" t="s">
        <v>26</v>
      </c>
      <c r="H3545" s="398" t="s">
        <v>26</v>
      </c>
      <c r="I3545" s="399">
        <f t="shared" si="159"/>
        <v>60</v>
      </c>
      <c r="J3545" s="396"/>
    </row>
    <row r="3546" spans="1:10" s="367" customFormat="1" ht="22.5" customHeight="1">
      <c r="A3546" s="395"/>
      <c r="B3546" s="401" t="s">
        <v>1598</v>
      </c>
      <c r="C3546" s="397">
        <v>1</v>
      </c>
      <c r="D3546" s="397">
        <v>1</v>
      </c>
      <c r="E3546" s="397">
        <v>3</v>
      </c>
      <c r="F3546" s="410">
        <v>24</v>
      </c>
      <c r="G3546" s="398" t="s">
        <v>26</v>
      </c>
      <c r="H3546" s="398" t="s">
        <v>26</v>
      </c>
      <c r="I3546" s="399">
        <f t="shared" si="159"/>
        <v>72</v>
      </c>
      <c r="J3546" s="396"/>
    </row>
    <row r="3547" spans="1:10" s="367" customFormat="1" ht="22.5" customHeight="1">
      <c r="A3547" s="395"/>
      <c r="B3547" s="396" t="s">
        <v>1599</v>
      </c>
      <c r="C3547" s="397"/>
      <c r="D3547" s="397"/>
      <c r="E3547" s="397"/>
      <c r="F3547" s="410"/>
      <c r="G3547" s="398"/>
      <c r="H3547" s="398"/>
      <c r="I3547" s="399"/>
      <c r="J3547" s="396"/>
    </row>
    <row r="3548" spans="1:10" s="367" customFormat="1" ht="22.5" customHeight="1">
      <c r="A3548" s="395"/>
      <c r="B3548" s="401" t="s">
        <v>1597</v>
      </c>
      <c r="C3548" s="397">
        <v>1</v>
      </c>
      <c r="D3548" s="397">
        <v>1</v>
      </c>
      <c r="E3548" s="397">
        <v>3</v>
      </c>
      <c r="F3548" s="410">
        <v>18</v>
      </c>
      <c r="G3548" s="398" t="s">
        <v>26</v>
      </c>
      <c r="H3548" s="398" t="s">
        <v>26</v>
      </c>
      <c r="I3548" s="399">
        <f>PRODUCT(C3548:H3548)</f>
        <v>54</v>
      </c>
      <c r="J3548" s="396"/>
    </row>
    <row r="3549" spans="1:10" s="367" customFormat="1" ht="22.5" customHeight="1">
      <c r="A3549" s="395"/>
      <c r="B3549" s="401" t="s">
        <v>1598</v>
      </c>
      <c r="C3549" s="397">
        <v>1</v>
      </c>
      <c r="D3549" s="397">
        <v>1</v>
      </c>
      <c r="E3549" s="397">
        <v>3</v>
      </c>
      <c r="F3549" s="410">
        <v>20</v>
      </c>
      <c r="G3549" s="398" t="s">
        <v>26</v>
      </c>
      <c r="H3549" s="398" t="s">
        <v>26</v>
      </c>
      <c r="I3549" s="399">
        <f>PRODUCT(C3549:H3549)</f>
        <v>60</v>
      </c>
      <c r="J3549" s="396"/>
    </row>
    <row r="3550" spans="1:10" s="367" customFormat="1" ht="22.5" customHeight="1">
      <c r="A3550" s="395"/>
      <c r="B3550" s="401"/>
      <c r="C3550" s="397"/>
      <c r="D3550" s="397"/>
      <c r="E3550" s="397"/>
      <c r="F3550" s="398"/>
      <c r="G3550" s="398"/>
      <c r="H3550" s="551" t="s">
        <v>41</v>
      </c>
      <c r="I3550" s="517">
        <f>SUM(I3526:I3549)</f>
        <v>7174</v>
      </c>
      <c r="J3550" s="396"/>
    </row>
    <row r="3551" spans="1:10" s="367" customFormat="1" ht="22.5" customHeight="1">
      <c r="A3551" s="395"/>
      <c r="B3551" s="401"/>
      <c r="C3551" s="397"/>
      <c r="D3551" s="397"/>
      <c r="E3551" s="397"/>
      <c r="F3551" s="398"/>
      <c r="G3551" s="398"/>
      <c r="H3551" s="551" t="s">
        <v>55</v>
      </c>
      <c r="I3551" s="517">
        <f>ROUNDUP(I3550,1)</f>
        <v>7174</v>
      </c>
      <c r="J3551" s="396" t="s">
        <v>32</v>
      </c>
    </row>
    <row r="3552" spans="1:10" s="367" customFormat="1" ht="42.75" customHeight="1">
      <c r="A3552" s="395">
        <v>87.1</v>
      </c>
      <c r="B3552" s="401" t="s">
        <v>43</v>
      </c>
      <c r="C3552" s="397"/>
      <c r="D3552" s="397"/>
      <c r="E3552" s="397"/>
      <c r="F3552" s="398"/>
      <c r="G3552" s="398"/>
      <c r="H3552" s="551"/>
      <c r="I3552" s="519"/>
      <c r="J3552" s="396"/>
    </row>
    <row r="3553" spans="1:30" s="367" customFormat="1" ht="28.5" customHeight="1">
      <c r="A3553" s="395"/>
      <c r="B3553" s="279" t="s">
        <v>1600</v>
      </c>
      <c r="C3553" s="280">
        <v>100</v>
      </c>
      <c r="D3553" s="280">
        <v>1</v>
      </c>
      <c r="E3553" s="280">
        <v>1</v>
      </c>
      <c r="F3553" s="282"/>
      <c r="G3553" s="282"/>
      <c r="H3553" s="282"/>
      <c r="I3553" s="283">
        <f>PRODUCT(C3553:H3553)</f>
        <v>100</v>
      </c>
      <c r="J3553" s="396"/>
    </row>
    <row r="3554" spans="1:30" s="367" customFormat="1" ht="22.5" customHeight="1">
      <c r="A3554" s="395"/>
      <c r="B3554" s="401"/>
      <c r="C3554" s="397"/>
      <c r="D3554" s="397"/>
      <c r="E3554" s="397"/>
      <c r="F3554" s="398"/>
      <c r="G3554" s="398"/>
      <c r="H3554" s="551"/>
      <c r="I3554" s="519"/>
      <c r="J3554" s="396"/>
    </row>
    <row r="3555" spans="1:30" s="45" customFormat="1" ht="16.5">
      <c r="A3555" s="373">
        <v>344</v>
      </c>
      <c r="B3555" s="286" t="s">
        <v>155</v>
      </c>
      <c r="C3555" s="280"/>
      <c r="D3555" s="280"/>
      <c r="E3555" s="280"/>
      <c r="F3555" s="282"/>
      <c r="G3555" s="282"/>
      <c r="H3555" s="282"/>
      <c r="I3555" s="283"/>
      <c r="J3555" s="278"/>
      <c r="K3555" s="371"/>
      <c r="L3555" s="371"/>
      <c r="M3555" s="371"/>
    </row>
    <row r="3556" spans="1:30" s="45" customFormat="1" ht="16.5">
      <c r="A3556" s="278"/>
      <c r="B3556" s="279" t="s">
        <v>148</v>
      </c>
      <c r="C3556" s="280">
        <v>1</v>
      </c>
      <c r="D3556" s="280">
        <v>1</v>
      </c>
      <c r="E3556" s="280">
        <v>2</v>
      </c>
      <c r="F3556" s="282"/>
      <c r="G3556" s="282"/>
      <c r="H3556" s="282"/>
      <c r="I3556" s="283">
        <f>PRODUCT(C3556:H3556)</f>
        <v>2</v>
      </c>
      <c r="J3556" s="278"/>
      <c r="K3556" s="371"/>
      <c r="L3556" s="371"/>
      <c r="M3556" s="371"/>
    </row>
    <row r="3557" spans="1:30" s="45" customFormat="1" ht="31.5">
      <c r="A3557" s="278"/>
      <c r="B3557" s="279" t="s">
        <v>988</v>
      </c>
      <c r="C3557" s="280">
        <v>100</v>
      </c>
      <c r="D3557" s="280">
        <v>1</v>
      </c>
      <c r="E3557" s="280">
        <v>2</v>
      </c>
      <c r="F3557" s="282"/>
      <c r="G3557" s="282"/>
      <c r="H3557" s="282"/>
      <c r="I3557" s="283">
        <f>PRODUCT(C3557:H3557)</f>
        <v>200</v>
      </c>
      <c r="J3557" s="278"/>
      <c r="K3557" s="371"/>
      <c r="L3557" s="371"/>
      <c r="M3557" s="371"/>
    </row>
    <row r="3558" spans="1:30" s="45" customFormat="1" ht="16.5">
      <c r="A3558" s="278"/>
      <c r="B3558" s="279"/>
      <c r="C3558" s="280"/>
      <c r="D3558" s="280"/>
      <c r="E3558" s="280"/>
      <c r="F3558" s="282"/>
      <c r="G3558" s="282"/>
      <c r="H3558" s="415"/>
      <c r="I3558" s="416">
        <f>SUM(I3556:I3557)</f>
        <v>202</v>
      </c>
      <c r="J3558" s="278" t="s">
        <v>23</v>
      </c>
      <c r="K3558" s="371"/>
      <c r="L3558" s="371"/>
      <c r="M3558" s="371"/>
    </row>
    <row r="3559" spans="1:30" s="2" customFormat="1" ht="31.5">
      <c r="A3559" s="278">
        <v>383</v>
      </c>
      <c r="B3559" s="286" t="s">
        <v>154</v>
      </c>
      <c r="C3559" s="280"/>
      <c r="D3559" s="280"/>
      <c r="E3559" s="280"/>
      <c r="F3559" s="282"/>
      <c r="G3559" s="282"/>
      <c r="H3559" s="282"/>
      <c r="I3559" s="416"/>
      <c r="J3559" s="284"/>
      <c r="K3559" s="43"/>
      <c r="L3559" s="43"/>
      <c r="M3559" s="43"/>
      <c r="N3559" s="9"/>
      <c r="O3559" s="9"/>
      <c r="P3559" s="9"/>
      <c r="Q3559" s="9"/>
      <c r="R3559" s="9"/>
      <c r="S3559" s="9"/>
      <c r="T3559" s="9"/>
      <c r="U3559" s="9"/>
      <c r="V3559" s="9"/>
      <c r="W3559" s="9"/>
      <c r="X3559" s="9"/>
      <c r="Y3559" s="9"/>
      <c r="Z3559" s="9"/>
      <c r="AA3559" s="9"/>
      <c r="AB3559" s="9"/>
      <c r="AC3559" s="9"/>
      <c r="AD3559" s="9"/>
    </row>
    <row r="3560" spans="1:30" s="2" customFormat="1" ht="33.75" customHeight="1">
      <c r="A3560" s="278"/>
      <c r="B3560" s="279" t="s">
        <v>988</v>
      </c>
      <c r="C3560" s="280">
        <v>100</v>
      </c>
      <c r="D3560" s="280">
        <v>1</v>
      </c>
      <c r="E3560" s="280">
        <v>1</v>
      </c>
      <c r="F3560" s="282"/>
      <c r="G3560" s="282"/>
      <c r="H3560" s="282"/>
      <c r="I3560" s="416">
        <f>PRODUCT(C3560:H3560)</f>
        <v>100</v>
      </c>
      <c r="J3560" s="343" t="s">
        <v>23</v>
      </c>
      <c r="K3560" s="44"/>
      <c r="L3560" s="44"/>
      <c r="M3560" s="44"/>
      <c r="N3560" s="9"/>
      <c r="O3560" s="9"/>
      <c r="P3560" s="9"/>
      <c r="Q3560" s="9"/>
      <c r="R3560" s="9"/>
      <c r="S3560" s="9"/>
      <c r="T3560" s="9"/>
      <c r="U3560" s="9"/>
      <c r="V3560" s="9"/>
      <c r="W3560" s="9"/>
      <c r="X3560" s="9"/>
      <c r="Y3560" s="9"/>
      <c r="Z3560" s="9"/>
      <c r="AA3560" s="9"/>
      <c r="AB3560" s="9"/>
      <c r="AC3560" s="9"/>
      <c r="AD3560" s="9"/>
    </row>
    <row r="3561" spans="1:30" s="2" customFormat="1" ht="110.25" customHeight="1">
      <c r="A3561" s="278">
        <v>383.1</v>
      </c>
      <c r="B3561" s="286" t="s">
        <v>153</v>
      </c>
      <c r="C3561" s="280"/>
      <c r="D3561" s="280"/>
      <c r="E3561" s="280"/>
      <c r="F3561" s="282"/>
      <c r="G3561" s="282"/>
      <c r="H3561" s="282"/>
      <c r="I3561" s="416"/>
      <c r="J3561" s="284"/>
      <c r="K3561" s="43"/>
      <c r="L3561" s="43"/>
      <c r="M3561" s="43"/>
      <c r="N3561" s="9"/>
      <c r="O3561" s="9"/>
      <c r="P3561" s="9"/>
      <c r="Q3561" s="9"/>
      <c r="R3561" s="9"/>
      <c r="S3561" s="9"/>
      <c r="T3561" s="9"/>
      <c r="U3561" s="9"/>
      <c r="V3561" s="9"/>
      <c r="W3561" s="9"/>
      <c r="X3561" s="9"/>
      <c r="Y3561" s="9"/>
      <c r="Z3561" s="9"/>
      <c r="AA3561" s="9"/>
      <c r="AB3561" s="9"/>
      <c r="AC3561" s="9"/>
      <c r="AD3561" s="9"/>
    </row>
    <row r="3562" spans="1:30" s="2" customFormat="1" ht="30.75" customHeight="1">
      <c r="A3562" s="288"/>
      <c r="B3562" s="279" t="s">
        <v>1571</v>
      </c>
      <c r="C3562" s="280">
        <v>100</v>
      </c>
      <c r="D3562" s="280">
        <v>1</v>
      </c>
      <c r="E3562" s="280">
        <v>1</v>
      </c>
      <c r="F3562" s="282">
        <v>4.45</v>
      </c>
      <c r="G3562" s="282"/>
      <c r="H3562" s="282"/>
      <c r="I3562" s="416">
        <f>PRODUCT(C3562:H3562)</f>
        <v>445</v>
      </c>
      <c r="J3562" s="343" t="s">
        <v>12</v>
      </c>
      <c r="K3562" s="44"/>
      <c r="L3562" s="44"/>
      <c r="M3562" s="44"/>
      <c r="N3562" s="9"/>
      <c r="O3562" s="9">
        <f>2.8+2.4-0.6</f>
        <v>4.5999999999999996</v>
      </c>
      <c r="P3562" s="9">
        <f>0.6+0.6+0.6</f>
        <v>1.8</v>
      </c>
      <c r="Q3562" s="9"/>
      <c r="R3562" s="9"/>
      <c r="S3562" s="9"/>
      <c r="T3562" s="9"/>
      <c r="U3562" s="9"/>
      <c r="V3562" s="9"/>
      <c r="W3562" s="9"/>
      <c r="X3562" s="9"/>
      <c r="Y3562" s="9"/>
      <c r="Z3562" s="9"/>
      <c r="AA3562" s="9"/>
      <c r="AB3562" s="9"/>
      <c r="AC3562" s="9"/>
      <c r="AD3562" s="9"/>
    </row>
    <row r="3563" spans="1:30" s="2" customFormat="1" ht="22.5" customHeight="1">
      <c r="A3563" s="288"/>
      <c r="B3563" s="279"/>
      <c r="C3563" s="280"/>
      <c r="D3563" s="280"/>
      <c r="E3563" s="280"/>
      <c r="F3563" s="282"/>
      <c r="G3563" s="282"/>
      <c r="H3563" s="282"/>
      <c r="I3563" s="347"/>
      <c r="J3563" s="284"/>
      <c r="K3563" s="43"/>
      <c r="L3563" s="43"/>
      <c r="M3563" s="43"/>
      <c r="N3563" s="9"/>
      <c r="O3563" s="9"/>
      <c r="P3563" s="9">
        <f>O3562+P3562</f>
        <v>6.4</v>
      </c>
      <c r="Q3563" s="9"/>
      <c r="R3563" s="9"/>
      <c r="S3563" s="9"/>
      <c r="T3563" s="9"/>
      <c r="U3563" s="9"/>
      <c r="V3563" s="9"/>
      <c r="W3563" s="9"/>
      <c r="X3563" s="9"/>
      <c r="Y3563" s="9"/>
      <c r="Z3563" s="9"/>
      <c r="AA3563" s="9"/>
      <c r="AB3563" s="9"/>
      <c r="AC3563" s="9"/>
      <c r="AD3563" s="9"/>
    </row>
    <row r="3564" spans="1:30" s="2" customFormat="1" ht="49.5" customHeight="1">
      <c r="A3564" s="278">
        <v>367</v>
      </c>
      <c r="B3564" s="286" t="s">
        <v>152</v>
      </c>
      <c r="C3564" s="280"/>
      <c r="D3564" s="280"/>
      <c r="E3564" s="280"/>
      <c r="F3564" s="282"/>
      <c r="G3564" s="282" t="s">
        <v>151</v>
      </c>
      <c r="H3564" s="282"/>
      <c r="I3564" s="339"/>
      <c r="J3564" s="284"/>
      <c r="K3564" s="43"/>
      <c r="L3564" s="43"/>
      <c r="M3564" s="43"/>
      <c r="N3564" s="9"/>
      <c r="O3564" s="9"/>
      <c r="P3564" s="9"/>
      <c r="Q3564" s="9"/>
      <c r="R3564" s="9"/>
      <c r="S3564" s="9"/>
      <c r="T3564" s="9"/>
      <c r="U3564" s="9"/>
      <c r="V3564" s="9"/>
      <c r="W3564" s="9"/>
      <c r="X3564" s="9"/>
      <c r="Y3564" s="9"/>
      <c r="Z3564" s="9"/>
      <c r="AA3564" s="9"/>
      <c r="AB3564" s="9"/>
      <c r="AC3564" s="9"/>
      <c r="AD3564" s="9"/>
    </row>
    <row r="3565" spans="1:30" s="2" customFormat="1" ht="20.25" customHeight="1">
      <c r="A3565" s="278"/>
      <c r="B3565" s="279" t="s">
        <v>989</v>
      </c>
      <c r="C3565" s="280">
        <v>100</v>
      </c>
      <c r="D3565" s="280">
        <v>1</v>
      </c>
      <c r="E3565" s="280">
        <v>1</v>
      </c>
      <c r="F3565" s="282">
        <v>1</v>
      </c>
      <c r="G3565" s="282">
        <v>2.25</v>
      </c>
      <c r="H3565" s="282">
        <v>2.1</v>
      </c>
      <c r="I3565" s="416">
        <f>PRODUCT(C3565:H3565)</f>
        <v>472.5</v>
      </c>
      <c r="J3565" s="287" t="s">
        <v>4</v>
      </c>
      <c r="K3565" s="42"/>
      <c r="L3565" s="42"/>
      <c r="M3565" s="42"/>
      <c r="N3565" s="9"/>
      <c r="O3565" s="9"/>
      <c r="P3565" s="9"/>
      <c r="Q3565" s="9"/>
      <c r="R3565" s="9"/>
      <c r="S3565" s="9"/>
      <c r="T3565" s="9"/>
      <c r="U3565" s="9"/>
      <c r="V3565" s="9"/>
      <c r="W3565" s="9"/>
      <c r="X3565" s="9"/>
      <c r="Y3565" s="9"/>
      <c r="Z3565" s="9"/>
      <c r="AA3565" s="9"/>
      <c r="AB3565" s="9"/>
      <c r="AC3565" s="9"/>
      <c r="AD3565" s="9"/>
    </row>
    <row r="3566" spans="1:30" s="2" customFormat="1" ht="20.25" customHeight="1">
      <c r="A3566" s="278"/>
      <c r="B3566" s="279"/>
      <c r="C3566" s="280"/>
      <c r="D3566" s="280"/>
      <c r="E3566" s="280"/>
      <c r="F3566" s="282"/>
      <c r="G3566" s="282"/>
      <c r="H3566" s="282"/>
      <c r="I3566" s="416"/>
      <c r="J3566" s="287"/>
      <c r="K3566" s="42"/>
      <c r="L3566" s="42"/>
      <c r="M3566" s="42"/>
      <c r="N3566" s="9"/>
      <c r="O3566" s="9"/>
      <c r="P3566" s="9"/>
      <c r="Q3566" s="9"/>
      <c r="R3566" s="9"/>
      <c r="S3566" s="9"/>
      <c r="T3566" s="9"/>
      <c r="U3566" s="9"/>
      <c r="V3566" s="9"/>
      <c r="W3566" s="9"/>
      <c r="X3566" s="9"/>
      <c r="Y3566" s="9"/>
      <c r="Z3566" s="9"/>
      <c r="AA3566" s="9"/>
      <c r="AB3566" s="9"/>
      <c r="AC3566" s="9"/>
      <c r="AD3566" s="9"/>
    </row>
    <row r="3567" spans="1:30" s="40" customFormat="1" ht="32.25" customHeight="1">
      <c r="A3567" s="294">
        <v>54.1</v>
      </c>
      <c r="B3567" s="319" t="s">
        <v>49</v>
      </c>
      <c r="C3567" s="294"/>
      <c r="D3567" s="280"/>
      <c r="E3567" s="294"/>
      <c r="F3567" s="338"/>
      <c r="G3567" s="338"/>
      <c r="H3567" s="338"/>
      <c r="I3567" s="339"/>
      <c r="J3567" s="340"/>
      <c r="K3567" s="39"/>
      <c r="L3567" s="39"/>
      <c r="M3567" s="39"/>
      <c r="N3567" s="41"/>
      <c r="O3567" s="41"/>
      <c r="P3567" s="41"/>
      <c r="Q3567" s="41"/>
      <c r="R3567" s="41"/>
      <c r="S3567" s="41"/>
      <c r="T3567" s="41"/>
      <c r="U3567" s="41"/>
      <c r="V3567" s="41"/>
      <c r="W3567" s="41"/>
      <c r="X3567" s="41"/>
      <c r="Y3567" s="41"/>
      <c r="Z3567" s="41"/>
      <c r="AA3567" s="41"/>
      <c r="AB3567" s="41"/>
      <c r="AC3567" s="41"/>
      <c r="AD3567" s="41"/>
    </row>
    <row r="3568" spans="1:30" s="37" customFormat="1" ht="20.25" customHeight="1">
      <c r="A3568" s="294"/>
      <c r="B3568" s="293" t="s">
        <v>150</v>
      </c>
      <c r="C3568" s="280">
        <v>1</v>
      </c>
      <c r="D3568" s="280">
        <v>1</v>
      </c>
      <c r="E3568" s="280">
        <v>2</v>
      </c>
      <c r="F3568" s="338"/>
      <c r="G3568" s="338"/>
      <c r="H3568" s="338"/>
      <c r="I3568" s="283">
        <f>PRODUCT(C3568:H3568)</f>
        <v>2</v>
      </c>
      <c r="J3568" s="340"/>
      <c r="K3568" s="39"/>
      <c r="L3568" s="39"/>
      <c r="M3568" s="39"/>
      <c r="N3568" s="38"/>
      <c r="O3568" s="38"/>
      <c r="P3568" s="38"/>
      <c r="Q3568" s="38"/>
      <c r="R3568" s="38"/>
      <c r="S3568" s="38"/>
      <c r="T3568" s="38"/>
      <c r="U3568" s="38"/>
      <c r="V3568" s="38"/>
      <c r="W3568" s="38"/>
      <c r="X3568" s="38"/>
      <c r="Y3568" s="38"/>
      <c r="Z3568" s="38"/>
      <c r="AA3568" s="38"/>
      <c r="AB3568" s="38"/>
      <c r="AC3568" s="38"/>
      <c r="AD3568" s="38"/>
    </row>
    <row r="3569" spans="1:30" s="37" customFormat="1" ht="20.25" customHeight="1">
      <c r="A3569" s="294"/>
      <c r="B3569" s="293" t="s">
        <v>990</v>
      </c>
      <c r="C3569" s="280">
        <v>100</v>
      </c>
      <c r="D3569" s="280">
        <v>1</v>
      </c>
      <c r="E3569" s="280">
        <v>2</v>
      </c>
      <c r="F3569" s="338"/>
      <c r="G3569" s="338"/>
      <c r="H3569" s="338"/>
      <c r="I3569" s="283">
        <f>PRODUCT(C3569:H3569)</f>
        <v>200</v>
      </c>
      <c r="J3569" s="340"/>
      <c r="K3569" s="39"/>
      <c r="L3569" s="39"/>
      <c r="M3569" s="39"/>
      <c r="N3569" s="38"/>
      <c r="O3569" s="38"/>
      <c r="P3569" s="38"/>
      <c r="Q3569" s="38"/>
      <c r="R3569" s="38"/>
      <c r="S3569" s="38"/>
      <c r="T3569" s="38"/>
      <c r="U3569" s="38"/>
      <c r="V3569" s="38"/>
      <c r="W3569" s="38"/>
      <c r="X3569" s="38"/>
      <c r="Y3569" s="38"/>
      <c r="Z3569" s="38"/>
      <c r="AA3569" s="38"/>
      <c r="AB3569" s="38"/>
      <c r="AC3569" s="38"/>
      <c r="AD3569" s="38"/>
    </row>
    <row r="3570" spans="1:30" s="37" customFormat="1" ht="20.25" customHeight="1">
      <c r="A3570" s="294"/>
      <c r="B3570" s="293" t="s">
        <v>1572</v>
      </c>
      <c r="C3570" s="280">
        <v>100</v>
      </c>
      <c r="D3570" s="280">
        <v>1</v>
      </c>
      <c r="E3570" s="280">
        <v>2</v>
      </c>
      <c r="F3570" s="338"/>
      <c r="G3570" s="347"/>
      <c r="H3570" s="494"/>
      <c r="I3570" s="283">
        <f>PRODUCT(C3570:H3570)</f>
        <v>200</v>
      </c>
      <c r="J3570" s="340"/>
      <c r="K3570" s="39"/>
      <c r="L3570" s="39"/>
      <c r="M3570" s="39"/>
      <c r="N3570" s="38"/>
      <c r="O3570" s="38"/>
      <c r="P3570" s="38"/>
      <c r="Q3570" s="38"/>
      <c r="R3570" s="38"/>
      <c r="S3570" s="38"/>
      <c r="T3570" s="38"/>
      <c r="U3570" s="38"/>
      <c r="V3570" s="38"/>
      <c r="W3570" s="38"/>
      <c r="X3570" s="38"/>
      <c r="Y3570" s="38"/>
      <c r="Z3570" s="38"/>
      <c r="AA3570" s="38"/>
      <c r="AB3570" s="38"/>
      <c r="AC3570" s="38"/>
      <c r="AD3570" s="38"/>
    </row>
    <row r="3571" spans="1:30" s="37" customFormat="1" ht="20.25" customHeight="1">
      <c r="A3571" s="294"/>
      <c r="B3571" s="293"/>
      <c r="C3571" s="294"/>
      <c r="D3571" s="280"/>
      <c r="E3571" s="294"/>
      <c r="F3571" s="338"/>
      <c r="G3571" s="587" t="s">
        <v>41</v>
      </c>
      <c r="H3571" s="588"/>
      <c r="I3571" s="339">
        <f>SUM(I3568:I3570)</f>
        <v>402</v>
      </c>
      <c r="J3571" s="340" t="s">
        <v>23</v>
      </c>
      <c r="K3571" s="39"/>
      <c r="L3571" s="39"/>
      <c r="M3571" s="39"/>
      <c r="N3571" s="38"/>
      <c r="O3571" s="38"/>
      <c r="P3571" s="38"/>
      <c r="Q3571" s="38"/>
      <c r="R3571" s="38"/>
      <c r="S3571" s="38"/>
      <c r="T3571" s="38"/>
      <c r="U3571" s="38"/>
      <c r="V3571" s="38"/>
      <c r="W3571" s="38"/>
      <c r="X3571" s="38"/>
      <c r="Y3571" s="38"/>
      <c r="Z3571" s="38"/>
      <c r="AA3571" s="38"/>
      <c r="AB3571" s="38"/>
      <c r="AC3571" s="38"/>
      <c r="AD3571" s="38"/>
    </row>
    <row r="3572" spans="1:30" s="37" customFormat="1" ht="32.25" customHeight="1">
      <c r="A3572" s="294">
        <v>54.2</v>
      </c>
      <c r="B3572" s="319" t="s">
        <v>50</v>
      </c>
      <c r="C3572" s="294"/>
      <c r="D3572" s="280"/>
      <c r="E3572" s="294"/>
      <c r="F3572" s="338"/>
      <c r="G3572" s="338"/>
      <c r="H3572" s="338"/>
      <c r="I3572" s="339"/>
      <c r="J3572" s="340"/>
      <c r="K3572" s="39"/>
      <c r="L3572" s="39"/>
      <c r="M3572" s="39"/>
      <c r="N3572" s="38"/>
      <c r="O3572" s="38"/>
      <c r="P3572" s="38"/>
      <c r="Q3572" s="38"/>
      <c r="R3572" s="38"/>
      <c r="S3572" s="38"/>
      <c r="T3572" s="38"/>
      <c r="U3572" s="38"/>
      <c r="V3572" s="38"/>
      <c r="W3572" s="38"/>
      <c r="X3572" s="38"/>
      <c r="Y3572" s="38"/>
      <c r="Z3572" s="38"/>
      <c r="AA3572" s="38"/>
      <c r="AB3572" s="38"/>
      <c r="AC3572" s="38"/>
      <c r="AD3572" s="38"/>
    </row>
    <row r="3573" spans="1:30" s="37" customFormat="1" ht="20.25" customHeight="1">
      <c r="A3573" s="294"/>
      <c r="B3573" s="293" t="s">
        <v>150</v>
      </c>
      <c r="C3573" s="280">
        <v>1</v>
      </c>
      <c r="D3573" s="280">
        <v>1</v>
      </c>
      <c r="E3573" s="280">
        <v>2</v>
      </c>
      <c r="F3573" s="338"/>
      <c r="G3573" s="338"/>
      <c r="H3573" s="338"/>
      <c r="I3573" s="283">
        <f>PRODUCT(C3573:H3573)</f>
        <v>2</v>
      </c>
      <c r="J3573" s="340"/>
      <c r="K3573" s="39"/>
      <c r="L3573" s="39"/>
      <c r="M3573" s="39"/>
      <c r="N3573" s="38"/>
      <c r="O3573" s="38"/>
      <c r="P3573" s="38"/>
      <c r="Q3573" s="38"/>
      <c r="R3573" s="38"/>
      <c r="S3573" s="38"/>
      <c r="T3573" s="38"/>
      <c r="U3573" s="38"/>
      <c r="V3573" s="38"/>
      <c r="W3573" s="38"/>
      <c r="X3573" s="38"/>
      <c r="Y3573" s="38"/>
      <c r="Z3573" s="38"/>
      <c r="AA3573" s="38"/>
      <c r="AB3573" s="38"/>
      <c r="AC3573" s="38"/>
      <c r="AD3573" s="38"/>
    </row>
    <row r="3574" spans="1:30" s="37" customFormat="1" ht="20.25" customHeight="1">
      <c r="A3574" s="294"/>
      <c r="B3574" s="293" t="s">
        <v>990</v>
      </c>
      <c r="C3574" s="280">
        <v>100</v>
      </c>
      <c r="D3574" s="280">
        <v>2</v>
      </c>
      <c r="E3574" s="280">
        <v>1</v>
      </c>
      <c r="F3574" s="338"/>
      <c r="G3574" s="552"/>
      <c r="H3574" s="552"/>
      <c r="I3574" s="283">
        <f>PRODUCT(C3574:H3574)</f>
        <v>200</v>
      </c>
      <c r="J3574" s="340"/>
      <c r="K3574" s="39"/>
      <c r="L3574" s="39"/>
      <c r="M3574" s="39"/>
      <c r="N3574" s="38"/>
      <c r="O3574" s="38"/>
      <c r="P3574" s="38"/>
      <c r="Q3574" s="38"/>
      <c r="R3574" s="38"/>
      <c r="S3574" s="38"/>
      <c r="T3574" s="38"/>
      <c r="U3574" s="38"/>
      <c r="V3574" s="38"/>
      <c r="W3574" s="38"/>
      <c r="X3574" s="38"/>
      <c r="Y3574" s="38"/>
      <c r="Z3574" s="38"/>
      <c r="AA3574" s="38"/>
      <c r="AB3574" s="38"/>
      <c r="AC3574" s="38"/>
      <c r="AD3574" s="38"/>
    </row>
    <row r="3575" spans="1:30" s="37" customFormat="1" ht="20.25" customHeight="1">
      <c r="A3575" s="294"/>
      <c r="B3575" s="293"/>
      <c r="C3575" s="294"/>
      <c r="D3575" s="280"/>
      <c r="E3575" s="294"/>
      <c r="F3575" s="338"/>
      <c r="G3575" s="587" t="s">
        <v>60</v>
      </c>
      <c r="H3575" s="588"/>
      <c r="I3575" s="339">
        <f>SUM(I3573:I3574)</f>
        <v>202</v>
      </c>
      <c r="J3575" s="340"/>
      <c r="K3575" s="39"/>
      <c r="L3575" s="39"/>
      <c r="M3575" s="39"/>
      <c r="N3575" s="38"/>
      <c r="O3575" s="38"/>
      <c r="P3575" s="38"/>
      <c r="Q3575" s="38"/>
      <c r="R3575" s="38"/>
      <c r="S3575" s="38"/>
      <c r="T3575" s="38"/>
      <c r="U3575" s="38"/>
      <c r="V3575" s="38"/>
      <c r="W3575" s="38"/>
      <c r="X3575" s="38"/>
      <c r="Y3575" s="38"/>
      <c r="Z3575" s="38"/>
      <c r="AA3575" s="38"/>
      <c r="AB3575" s="38"/>
      <c r="AC3575" s="38"/>
      <c r="AD3575" s="38"/>
    </row>
    <row r="3576" spans="1:30" s="33" customFormat="1" ht="266.25" customHeight="1">
      <c r="A3576" s="553"/>
      <c r="B3576" s="533" t="s">
        <v>149</v>
      </c>
      <c r="C3576" s="553"/>
      <c r="D3576" s="534"/>
      <c r="E3576" s="553"/>
      <c r="F3576" s="554"/>
      <c r="G3576" s="339"/>
      <c r="H3576" s="518"/>
      <c r="I3576" s="555"/>
      <c r="J3576" s="556"/>
      <c r="K3576" s="36"/>
      <c r="L3576" s="36"/>
      <c r="M3576" s="36"/>
      <c r="N3576" s="34"/>
      <c r="O3576" s="34"/>
      <c r="P3576" s="34"/>
      <c r="Q3576" s="34"/>
      <c r="R3576" s="34"/>
      <c r="S3576" s="34"/>
      <c r="T3576" s="34"/>
      <c r="U3576" s="34"/>
      <c r="V3576" s="34"/>
      <c r="W3576" s="34"/>
      <c r="X3576" s="34"/>
      <c r="Y3576" s="34"/>
      <c r="Z3576" s="34"/>
      <c r="AA3576" s="34"/>
      <c r="AB3576" s="34"/>
      <c r="AC3576" s="34"/>
      <c r="AD3576" s="34"/>
    </row>
    <row r="3577" spans="1:30" s="33" customFormat="1" ht="20.25" customHeight="1">
      <c r="A3577" s="553"/>
      <c r="B3577" s="533" t="s">
        <v>148</v>
      </c>
      <c r="C3577" s="493">
        <v>1</v>
      </c>
      <c r="D3577" s="493">
        <v>1</v>
      </c>
      <c r="E3577" s="493">
        <v>2</v>
      </c>
      <c r="F3577" s="338">
        <v>0.75</v>
      </c>
      <c r="G3577" s="404"/>
      <c r="H3577" s="338">
        <v>0.75</v>
      </c>
      <c r="I3577" s="347">
        <f>PRODUCT(C3577:H3577)</f>
        <v>1.1299999999999999</v>
      </c>
      <c r="J3577" s="556"/>
      <c r="K3577" s="36"/>
      <c r="L3577" s="36"/>
      <c r="M3577" s="36"/>
      <c r="N3577" s="34"/>
      <c r="O3577" s="34"/>
      <c r="P3577" s="34"/>
      <c r="Q3577" s="34"/>
      <c r="R3577" s="34"/>
      <c r="S3577" s="34"/>
      <c r="T3577" s="34"/>
      <c r="U3577" s="34"/>
      <c r="V3577" s="34"/>
      <c r="W3577" s="34"/>
      <c r="X3577" s="34"/>
      <c r="Y3577" s="34"/>
      <c r="Z3577" s="34"/>
      <c r="AA3577" s="34"/>
      <c r="AB3577" s="34"/>
      <c r="AC3577" s="34"/>
      <c r="AD3577" s="34"/>
    </row>
    <row r="3578" spans="1:30" s="33" customFormat="1" ht="20.25" customHeight="1">
      <c r="A3578" s="553"/>
      <c r="B3578" s="533" t="s">
        <v>991</v>
      </c>
      <c r="C3578" s="280">
        <v>100</v>
      </c>
      <c r="D3578" s="493">
        <v>1</v>
      </c>
      <c r="E3578" s="493">
        <v>2</v>
      </c>
      <c r="F3578" s="338">
        <v>0.75</v>
      </c>
      <c r="G3578" s="338"/>
      <c r="H3578" s="338">
        <v>0.75</v>
      </c>
      <c r="I3578" s="347">
        <f>PRODUCT(C3578:H3578)</f>
        <v>112.5</v>
      </c>
      <c r="J3578" s="343"/>
      <c r="K3578" s="18"/>
      <c r="L3578" s="18"/>
      <c r="M3578" s="18"/>
      <c r="N3578" s="34"/>
      <c r="O3578" s="34"/>
      <c r="P3578" s="34"/>
      <c r="Q3578" s="34"/>
      <c r="R3578" s="34"/>
      <c r="S3578" s="34"/>
      <c r="T3578" s="34"/>
      <c r="U3578" s="34"/>
      <c r="V3578" s="34"/>
      <c r="W3578" s="34"/>
      <c r="X3578" s="34"/>
      <c r="Y3578" s="34"/>
      <c r="Z3578" s="34"/>
      <c r="AA3578" s="34"/>
      <c r="AB3578" s="34"/>
      <c r="AC3578" s="34"/>
      <c r="AD3578" s="34"/>
    </row>
    <row r="3579" spans="1:30" s="33" customFormat="1" ht="18" customHeight="1">
      <c r="A3579" s="553"/>
      <c r="B3579" s="557"/>
      <c r="C3579" s="284"/>
      <c r="D3579" s="284"/>
      <c r="E3579" s="284"/>
      <c r="F3579" s="337"/>
      <c r="G3579" s="587" t="s">
        <v>41</v>
      </c>
      <c r="H3579" s="588"/>
      <c r="I3579" s="347">
        <f>SUM(I3577:I3578)</f>
        <v>113.63</v>
      </c>
      <c r="J3579" s="340" t="s">
        <v>147</v>
      </c>
      <c r="K3579" s="35"/>
      <c r="L3579" s="35"/>
      <c r="M3579" s="35"/>
      <c r="N3579" s="34"/>
      <c r="O3579" s="34"/>
      <c r="P3579" s="34"/>
      <c r="Q3579" s="34"/>
      <c r="R3579" s="34"/>
      <c r="S3579" s="34"/>
      <c r="T3579" s="34"/>
      <c r="U3579" s="34"/>
      <c r="V3579" s="34"/>
      <c r="W3579" s="34"/>
      <c r="X3579" s="34"/>
      <c r="Y3579" s="34"/>
      <c r="Z3579" s="34"/>
      <c r="AA3579" s="34"/>
      <c r="AB3579" s="34"/>
      <c r="AC3579" s="34"/>
      <c r="AD3579" s="34"/>
    </row>
    <row r="3580" spans="1:30" s="33" customFormat="1">
      <c r="A3580" s="553"/>
      <c r="B3580" s="557"/>
      <c r="C3580" s="284"/>
      <c r="D3580" s="284"/>
      <c r="E3580" s="284"/>
      <c r="F3580" s="337"/>
      <c r="G3580" s="595" t="s">
        <v>55</v>
      </c>
      <c r="H3580" s="596"/>
      <c r="I3580" s="416">
        <f>ROUNDUP(I3579,1)</f>
        <v>113.7</v>
      </c>
      <c r="J3580" s="343" t="s">
        <v>115</v>
      </c>
      <c r="K3580" s="18"/>
      <c r="L3580" s="18"/>
      <c r="M3580" s="18"/>
      <c r="N3580" s="34"/>
      <c r="O3580" s="34"/>
      <c r="P3580" s="34"/>
      <c r="Q3580" s="34"/>
      <c r="R3580" s="34"/>
      <c r="S3580" s="34"/>
      <c r="T3580" s="34"/>
      <c r="U3580" s="34"/>
      <c r="V3580" s="34"/>
      <c r="W3580" s="34"/>
      <c r="X3580" s="34"/>
      <c r="Y3580" s="34"/>
      <c r="Z3580" s="34"/>
      <c r="AA3580" s="34"/>
      <c r="AB3580" s="34"/>
      <c r="AC3580" s="34"/>
      <c r="AD3580" s="34"/>
    </row>
    <row r="3581" spans="1:30" s="16" customFormat="1">
      <c r="A3581" s="558"/>
      <c r="B3581" s="559"/>
      <c r="C3581" s="506"/>
      <c r="D3581" s="506"/>
      <c r="E3581" s="506"/>
      <c r="F3581" s="510"/>
      <c r="G3581" s="560"/>
      <c r="H3581" s="560"/>
      <c r="I3581" s="487"/>
      <c r="J3581" s="527"/>
      <c r="K3581" s="32"/>
      <c r="L3581" s="32"/>
      <c r="M3581" s="32"/>
      <c r="N3581" s="17"/>
      <c r="O3581" s="17"/>
      <c r="P3581" s="17"/>
      <c r="Q3581" s="17"/>
      <c r="R3581" s="17"/>
      <c r="S3581" s="17"/>
      <c r="T3581" s="17"/>
      <c r="U3581" s="17"/>
      <c r="V3581" s="17"/>
      <c r="W3581" s="17"/>
      <c r="X3581" s="17"/>
      <c r="Y3581" s="17"/>
      <c r="Z3581" s="17"/>
      <c r="AA3581" s="17"/>
      <c r="AB3581" s="17"/>
      <c r="AC3581" s="17"/>
      <c r="AD3581" s="17"/>
    </row>
    <row r="3582" spans="1:30" s="16" customFormat="1">
      <c r="A3582" s="558"/>
      <c r="B3582" s="559"/>
      <c r="C3582" s="506"/>
      <c r="D3582" s="506"/>
      <c r="E3582" s="506"/>
      <c r="F3582" s="510"/>
      <c r="G3582" s="560"/>
      <c r="H3582" s="560"/>
      <c r="I3582" s="487"/>
      <c r="J3582" s="527"/>
      <c r="K3582" s="32"/>
      <c r="L3582" s="32"/>
      <c r="M3582" s="32"/>
      <c r="N3582" s="17"/>
      <c r="O3582" s="17"/>
      <c r="P3582" s="17"/>
      <c r="Q3582" s="17"/>
      <c r="R3582" s="17"/>
      <c r="S3582" s="17"/>
      <c r="T3582" s="17"/>
      <c r="U3582" s="17"/>
      <c r="V3582" s="17"/>
      <c r="W3582" s="17"/>
      <c r="X3582" s="17"/>
      <c r="Y3582" s="17"/>
      <c r="Z3582" s="17"/>
      <c r="AA3582" s="17"/>
      <c r="AB3582" s="17"/>
      <c r="AC3582" s="17"/>
      <c r="AD3582" s="17"/>
    </row>
    <row r="3583" spans="1:30" s="16" customFormat="1">
      <c r="A3583" s="374">
        <v>448.2</v>
      </c>
      <c r="B3583" s="375" t="s">
        <v>56</v>
      </c>
      <c r="C3583" s="506"/>
      <c r="D3583" s="506"/>
      <c r="E3583" s="506"/>
      <c r="F3583" s="510"/>
      <c r="G3583" s="560"/>
      <c r="H3583" s="560"/>
      <c r="I3583" s="487"/>
      <c r="J3583" s="527"/>
      <c r="K3583" s="32"/>
      <c r="L3583" s="32"/>
      <c r="M3583" s="32"/>
      <c r="N3583" s="17"/>
      <c r="O3583" s="17"/>
      <c r="P3583" s="17"/>
      <c r="Q3583" s="17"/>
      <c r="R3583" s="17"/>
      <c r="S3583" s="17"/>
      <c r="T3583" s="17"/>
      <c r="U3583" s="17"/>
      <c r="V3583" s="17"/>
      <c r="W3583" s="17"/>
      <c r="X3583" s="17"/>
      <c r="Y3583" s="17"/>
      <c r="Z3583" s="17"/>
      <c r="AA3583" s="17"/>
      <c r="AB3583" s="17"/>
      <c r="AC3583" s="17"/>
      <c r="AD3583" s="17"/>
    </row>
    <row r="3584" spans="1:30" s="16" customFormat="1">
      <c r="A3584" s="558"/>
      <c r="B3584" s="559" t="s">
        <v>1580</v>
      </c>
      <c r="C3584" s="280">
        <v>1</v>
      </c>
      <c r="D3584" s="493">
        <v>1</v>
      </c>
      <c r="E3584" s="493">
        <v>1</v>
      </c>
      <c r="F3584" s="338">
        <v>202</v>
      </c>
      <c r="G3584" s="338"/>
      <c r="H3584" s="338"/>
      <c r="I3584" s="347">
        <f>PRODUCT(C3584:H3584)</f>
        <v>202</v>
      </c>
      <c r="J3584" s="527"/>
      <c r="K3584" s="32"/>
      <c r="L3584" s="32"/>
      <c r="M3584" s="32"/>
      <c r="N3584" s="17"/>
      <c r="O3584" s="17"/>
      <c r="P3584" s="17"/>
      <c r="Q3584" s="17"/>
      <c r="R3584" s="17"/>
      <c r="S3584" s="17"/>
      <c r="T3584" s="17"/>
      <c r="U3584" s="17"/>
      <c r="V3584" s="17"/>
      <c r="W3584" s="17"/>
      <c r="X3584" s="17"/>
      <c r="Y3584" s="17"/>
      <c r="Z3584" s="17"/>
      <c r="AA3584" s="17"/>
      <c r="AB3584" s="17"/>
      <c r="AC3584" s="17"/>
      <c r="AD3584" s="17"/>
    </row>
    <row r="3585" spans="1:30" s="16" customFormat="1">
      <c r="A3585" s="558"/>
      <c r="B3585" s="559"/>
      <c r="C3585" s="280"/>
      <c r="D3585" s="493"/>
      <c r="E3585" s="493"/>
      <c r="F3585" s="338"/>
      <c r="G3585" s="338"/>
      <c r="H3585" s="338"/>
      <c r="I3585" s="347"/>
      <c r="J3585" s="527"/>
      <c r="K3585" s="32"/>
      <c r="L3585" s="32"/>
      <c r="M3585" s="32"/>
      <c r="N3585" s="17"/>
      <c r="O3585" s="17"/>
      <c r="P3585" s="17"/>
      <c r="Q3585" s="17"/>
      <c r="R3585" s="17"/>
      <c r="S3585" s="17"/>
      <c r="T3585" s="17"/>
      <c r="U3585" s="17"/>
      <c r="V3585" s="17"/>
      <c r="W3585" s="17"/>
      <c r="X3585" s="17"/>
      <c r="Y3585" s="17"/>
      <c r="Z3585" s="17"/>
      <c r="AA3585" s="17"/>
      <c r="AB3585" s="17"/>
      <c r="AC3585" s="17"/>
      <c r="AD3585" s="17"/>
    </row>
    <row r="3586" spans="1:30" s="16" customFormat="1" ht="126">
      <c r="A3586" s="553"/>
      <c r="B3586" s="561" t="s">
        <v>146</v>
      </c>
      <c r="C3586" s="284"/>
      <c r="D3586" s="284"/>
      <c r="E3586" s="284"/>
      <c r="F3586" s="337"/>
      <c r="G3586" s="404"/>
      <c r="H3586" s="404"/>
      <c r="I3586" s="416"/>
      <c r="J3586" s="343"/>
      <c r="K3586" s="18"/>
      <c r="L3586" s="18"/>
      <c r="M3586" s="18"/>
      <c r="N3586" s="17"/>
      <c r="O3586" s="17"/>
      <c r="P3586" s="17"/>
      <c r="Q3586" s="17"/>
      <c r="R3586" s="17"/>
      <c r="S3586" s="17"/>
      <c r="T3586" s="17"/>
      <c r="U3586" s="17"/>
      <c r="V3586" s="17"/>
      <c r="W3586" s="17"/>
      <c r="X3586" s="17"/>
      <c r="Y3586" s="17"/>
      <c r="Z3586" s="17"/>
      <c r="AA3586" s="17"/>
      <c r="AB3586" s="17"/>
      <c r="AC3586" s="17"/>
      <c r="AD3586" s="17"/>
    </row>
    <row r="3587" spans="1:30" s="30" customFormat="1" ht="23.25">
      <c r="A3587" s="294"/>
      <c r="B3587" s="293" t="s">
        <v>145</v>
      </c>
      <c r="C3587" s="294">
        <v>1</v>
      </c>
      <c r="D3587" s="294">
        <v>2</v>
      </c>
      <c r="E3587" s="294">
        <v>2</v>
      </c>
      <c r="F3587" s="295">
        <v>1.9</v>
      </c>
      <c r="G3587" s="300">
        <v>2.1</v>
      </c>
      <c r="H3587" s="295"/>
      <c r="I3587" s="308">
        <f t="shared" ref="I3587:I3598" si="160">PRODUCT(C3587:H3587)</f>
        <v>15.96</v>
      </c>
      <c r="J3587" s="295"/>
      <c r="K3587" s="29"/>
      <c r="L3587" s="29"/>
      <c r="M3587" s="29"/>
      <c r="N3587" s="31"/>
      <c r="O3587" s="31"/>
    </row>
    <row r="3588" spans="1:30" s="30" customFormat="1" ht="23.25">
      <c r="A3588" s="294"/>
      <c r="B3588" s="293" t="s">
        <v>891</v>
      </c>
      <c r="C3588" s="294">
        <v>1</v>
      </c>
      <c r="D3588" s="294">
        <v>1</v>
      </c>
      <c r="E3588" s="294">
        <v>2</v>
      </c>
      <c r="F3588" s="295">
        <v>4.2</v>
      </c>
      <c r="G3588" s="300">
        <v>2.85</v>
      </c>
      <c r="H3588" s="295"/>
      <c r="I3588" s="308">
        <f t="shared" si="160"/>
        <v>23.94</v>
      </c>
      <c r="J3588" s="295"/>
      <c r="K3588" s="29"/>
      <c r="L3588" s="29"/>
      <c r="M3588" s="29"/>
      <c r="N3588" s="31"/>
      <c r="O3588" s="31"/>
    </row>
    <row r="3589" spans="1:30" s="30" customFormat="1" ht="23.25">
      <c r="A3589" s="294"/>
      <c r="B3589" s="293" t="s">
        <v>892</v>
      </c>
      <c r="C3589" s="294">
        <v>1</v>
      </c>
      <c r="D3589" s="294">
        <v>2</v>
      </c>
      <c r="E3589" s="294">
        <v>2</v>
      </c>
      <c r="F3589" s="295">
        <v>1.1200000000000001</v>
      </c>
      <c r="G3589" s="300">
        <v>2.85</v>
      </c>
      <c r="H3589" s="295"/>
      <c r="I3589" s="308">
        <f t="shared" si="160"/>
        <v>12.77</v>
      </c>
      <c r="J3589" s="295"/>
      <c r="K3589" s="29"/>
      <c r="L3589" s="29"/>
      <c r="M3589" s="29"/>
      <c r="N3589" s="31"/>
      <c r="O3589" s="31"/>
    </row>
    <row r="3590" spans="1:30" s="30" customFormat="1" ht="23.25">
      <c r="A3590" s="294"/>
      <c r="B3590" s="293" t="s">
        <v>893</v>
      </c>
      <c r="C3590" s="294">
        <v>1</v>
      </c>
      <c r="D3590" s="294">
        <v>2</v>
      </c>
      <c r="E3590" s="294">
        <v>2</v>
      </c>
      <c r="F3590" s="295">
        <v>2.0299999999999998</v>
      </c>
      <c r="G3590" s="300">
        <v>1.8</v>
      </c>
      <c r="H3590" s="295"/>
      <c r="I3590" s="308">
        <f t="shared" si="160"/>
        <v>14.62</v>
      </c>
      <c r="J3590" s="295"/>
      <c r="K3590" s="29"/>
      <c r="L3590" s="29"/>
      <c r="M3590" s="29"/>
      <c r="N3590" s="31"/>
      <c r="O3590" s="31"/>
    </row>
    <row r="3591" spans="1:30" s="30" customFormat="1" ht="23.25">
      <c r="A3591" s="294"/>
      <c r="B3591" s="293" t="s">
        <v>893</v>
      </c>
      <c r="C3591" s="294">
        <v>1</v>
      </c>
      <c r="D3591" s="294">
        <v>2</v>
      </c>
      <c r="E3591" s="294">
        <v>2</v>
      </c>
      <c r="F3591" s="295">
        <v>0.94</v>
      </c>
      <c r="G3591" s="300">
        <v>0.6</v>
      </c>
      <c r="H3591" s="295"/>
      <c r="I3591" s="308">
        <f t="shared" si="160"/>
        <v>2.2599999999999998</v>
      </c>
      <c r="J3591" s="295"/>
      <c r="K3591" s="29"/>
      <c r="L3591" s="29"/>
      <c r="M3591" s="29"/>
      <c r="N3591" s="31"/>
      <c r="O3591" s="31"/>
    </row>
    <row r="3592" spans="1:30" s="30" customFormat="1" ht="23.25">
      <c r="A3592" s="294"/>
      <c r="B3592" s="293" t="s">
        <v>895</v>
      </c>
      <c r="C3592" s="294">
        <v>1</v>
      </c>
      <c r="D3592" s="294">
        <v>2</v>
      </c>
      <c r="E3592" s="294">
        <v>1</v>
      </c>
      <c r="F3592" s="295">
        <v>6.06</v>
      </c>
      <c r="G3592" s="300">
        <v>4.9850000000000003</v>
      </c>
      <c r="H3592" s="295"/>
      <c r="I3592" s="308">
        <f t="shared" si="160"/>
        <v>60.42</v>
      </c>
      <c r="J3592" s="295"/>
      <c r="K3592" s="29"/>
      <c r="L3592" s="29"/>
      <c r="M3592" s="29"/>
      <c r="N3592" s="31"/>
      <c r="O3592" s="31"/>
    </row>
    <row r="3593" spans="1:30" s="30" customFormat="1" ht="23.25">
      <c r="A3593" s="294"/>
      <c r="B3593" s="293" t="s">
        <v>519</v>
      </c>
      <c r="C3593" s="294">
        <v>1</v>
      </c>
      <c r="D3593" s="294">
        <v>2</v>
      </c>
      <c r="E3593" s="294">
        <v>1</v>
      </c>
      <c r="F3593" s="295">
        <v>26.71</v>
      </c>
      <c r="G3593" s="300">
        <v>1.8</v>
      </c>
      <c r="H3593" s="295"/>
      <c r="I3593" s="308">
        <f t="shared" si="160"/>
        <v>96.16</v>
      </c>
      <c r="J3593" s="295"/>
      <c r="K3593" s="29"/>
      <c r="L3593" s="29"/>
      <c r="M3593" s="29"/>
      <c r="N3593" s="31"/>
      <c r="O3593" s="31"/>
    </row>
    <row r="3594" spans="1:30" s="30" customFormat="1" ht="23.25">
      <c r="A3594" s="294"/>
      <c r="B3594" s="293" t="s">
        <v>992</v>
      </c>
      <c r="C3594" s="294">
        <v>1</v>
      </c>
      <c r="D3594" s="294">
        <v>1</v>
      </c>
      <c r="E3594" s="294">
        <v>1</v>
      </c>
      <c r="F3594" s="295">
        <v>4.2</v>
      </c>
      <c r="G3594" s="300">
        <v>3.53</v>
      </c>
      <c r="H3594" s="295"/>
      <c r="I3594" s="308">
        <f t="shared" si="160"/>
        <v>14.83</v>
      </c>
      <c r="J3594" s="295"/>
      <c r="K3594" s="29"/>
      <c r="L3594" s="29"/>
      <c r="M3594" s="29"/>
      <c r="N3594" s="31"/>
      <c r="O3594" s="31"/>
    </row>
    <row r="3595" spans="1:30" s="30" customFormat="1" ht="23.25">
      <c r="A3595" s="294"/>
      <c r="B3595" s="293" t="s">
        <v>83</v>
      </c>
      <c r="C3595" s="294">
        <v>1</v>
      </c>
      <c r="D3595" s="294">
        <v>2</v>
      </c>
      <c r="E3595" s="294">
        <v>1</v>
      </c>
      <c r="F3595" s="295">
        <v>3.53</v>
      </c>
      <c r="G3595" s="300">
        <v>1.8</v>
      </c>
      <c r="H3595" s="295"/>
      <c r="I3595" s="308">
        <f t="shared" si="160"/>
        <v>12.71</v>
      </c>
      <c r="J3595" s="295"/>
      <c r="K3595" s="29"/>
      <c r="L3595" s="29"/>
      <c r="M3595" s="29"/>
      <c r="N3595" s="31"/>
      <c r="O3595" s="31"/>
    </row>
    <row r="3596" spans="1:30" s="30" customFormat="1" ht="23.25">
      <c r="A3596" s="294"/>
      <c r="B3596" s="293" t="s">
        <v>118</v>
      </c>
      <c r="C3596" s="294">
        <v>1</v>
      </c>
      <c r="D3596" s="294">
        <v>2</v>
      </c>
      <c r="E3596" s="294">
        <v>1</v>
      </c>
      <c r="F3596" s="295">
        <v>2.2999999999999998</v>
      </c>
      <c r="G3596" s="300">
        <v>2.97</v>
      </c>
      <c r="H3596" s="295"/>
      <c r="I3596" s="308">
        <f t="shared" si="160"/>
        <v>13.66</v>
      </c>
      <c r="J3596" s="295"/>
      <c r="K3596" s="29"/>
      <c r="L3596" s="29"/>
      <c r="M3596" s="29"/>
      <c r="N3596" s="31"/>
      <c r="O3596" s="31"/>
    </row>
    <row r="3597" spans="1:30" s="30" customFormat="1" ht="23.25">
      <c r="A3597" s="294"/>
      <c r="B3597" s="293" t="s">
        <v>141</v>
      </c>
      <c r="C3597" s="307">
        <v>1</v>
      </c>
      <c r="D3597" s="294">
        <v>2</v>
      </c>
      <c r="E3597" s="307">
        <v>10</v>
      </c>
      <c r="F3597" s="317">
        <v>2.0150000000000001</v>
      </c>
      <c r="G3597" s="317">
        <v>0.45</v>
      </c>
      <c r="H3597" s="300"/>
      <c r="I3597" s="308">
        <f t="shared" si="160"/>
        <v>18.14</v>
      </c>
      <c r="J3597" s="295"/>
      <c r="K3597" s="29"/>
      <c r="L3597" s="29"/>
      <c r="M3597" s="29"/>
      <c r="N3597" s="31"/>
      <c r="O3597" s="31"/>
    </row>
    <row r="3598" spans="1:30" s="30" customFormat="1" ht="23.25">
      <c r="A3598" s="294"/>
      <c r="B3598" s="319" t="s">
        <v>123</v>
      </c>
      <c r="C3598" s="294">
        <v>1</v>
      </c>
      <c r="D3598" s="294">
        <v>1</v>
      </c>
      <c r="E3598" s="294">
        <v>1</v>
      </c>
      <c r="F3598" s="295">
        <f>SUM(I3587:I3597)</f>
        <v>285.47000000000003</v>
      </c>
      <c r="G3598" s="300"/>
      <c r="H3598" s="300">
        <v>7.4999999999999997E-2</v>
      </c>
      <c r="I3598" s="308">
        <f t="shared" si="160"/>
        <v>21.41</v>
      </c>
      <c r="J3598" s="295"/>
      <c r="K3598" s="29"/>
      <c r="L3598" s="29"/>
      <c r="M3598" s="29"/>
      <c r="N3598" s="31"/>
      <c r="O3598" s="31"/>
    </row>
    <row r="3599" spans="1:30" s="16" customFormat="1">
      <c r="A3599" s="553"/>
      <c r="B3599" s="557"/>
      <c r="C3599" s="284"/>
      <c r="D3599" s="284"/>
      <c r="E3599" s="284"/>
      <c r="F3599" s="337"/>
      <c r="G3599" s="404"/>
      <c r="H3599" s="404" t="s">
        <v>41</v>
      </c>
      <c r="I3599" s="416">
        <f>SUM(I3587:I3598)</f>
        <v>306.88</v>
      </c>
      <c r="J3599" s="343" t="s">
        <v>115</v>
      </c>
      <c r="K3599" s="18"/>
      <c r="L3599" s="18"/>
      <c r="M3599" s="18"/>
      <c r="N3599" s="17"/>
      <c r="O3599" s="17"/>
      <c r="P3599" s="17"/>
      <c r="Q3599" s="17"/>
      <c r="R3599" s="17"/>
      <c r="S3599" s="17"/>
      <c r="T3599" s="17"/>
      <c r="U3599" s="17"/>
      <c r="V3599" s="17"/>
      <c r="W3599" s="17"/>
      <c r="X3599" s="17"/>
      <c r="Y3599" s="17"/>
      <c r="Z3599" s="17"/>
      <c r="AA3599" s="17"/>
      <c r="AB3599" s="17"/>
      <c r="AC3599" s="17"/>
      <c r="AD3599" s="17"/>
    </row>
    <row r="3600" spans="1:30" s="16" customFormat="1">
      <c r="A3600" s="553"/>
      <c r="B3600" s="557"/>
      <c r="C3600" s="284"/>
      <c r="D3600" s="284"/>
      <c r="E3600" s="284"/>
      <c r="F3600" s="337"/>
      <c r="G3600" s="404"/>
      <c r="H3600" s="404"/>
      <c r="I3600" s="416">
        <f>ROUNDUP(I3599,1)</f>
        <v>306.89999999999998</v>
      </c>
      <c r="J3600" s="343"/>
      <c r="K3600" s="18"/>
      <c r="L3600" s="18"/>
      <c r="M3600" s="18"/>
      <c r="N3600" s="17"/>
      <c r="O3600" s="17"/>
      <c r="P3600" s="17"/>
      <c r="Q3600" s="17"/>
      <c r="R3600" s="17"/>
      <c r="S3600" s="17"/>
      <c r="T3600" s="17"/>
      <c r="U3600" s="17"/>
      <c r="V3600" s="17"/>
      <c r="W3600" s="17"/>
      <c r="X3600" s="17"/>
      <c r="Y3600" s="17"/>
      <c r="Z3600" s="17"/>
      <c r="AA3600" s="17"/>
      <c r="AB3600" s="17"/>
      <c r="AC3600" s="17"/>
      <c r="AD3600" s="17"/>
    </row>
    <row r="3601" spans="1:30" s="16" customFormat="1" ht="63">
      <c r="A3601" s="553"/>
      <c r="B3601" s="561" t="s">
        <v>122</v>
      </c>
      <c r="C3601" s="284"/>
      <c r="D3601" s="284"/>
      <c r="E3601" s="284"/>
      <c r="F3601" s="337"/>
      <c r="G3601" s="404"/>
      <c r="H3601" s="404"/>
      <c r="I3601" s="416"/>
      <c r="J3601" s="343"/>
      <c r="K3601" s="18"/>
      <c r="L3601" s="18"/>
      <c r="M3601" s="18"/>
      <c r="N3601" s="17"/>
      <c r="O3601" s="17"/>
      <c r="P3601" s="17"/>
      <c r="Q3601" s="17"/>
      <c r="R3601" s="17"/>
      <c r="S3601" s="17"/>
      <c r="T3601" s="17"/>
      <c r="U3601" s="17"/>
      <c r="V3601" s="17"/>
      <c r="W3601" s="17"/>
      <c r="X3601" s="17"/>
      <c r="Y3601" s="17"/>
      <c r="Z3601" s="17"/>
      <c r="AA3601" s="17"/>
      <c r="AB3601" s="17"/>
      <c r="AC3601" s="17"/>
      <c r="AD3601" s="17"/>
    </row>
    <row r="3602" spans="1:30" s="20" customFormat="1" ht="22.5" customHeight="1">
      <c r="A3602" s="325"/>
      <c r="B3602" s="326" t="s">
        <v>887</v>
      </c>
      <c r="C3602" s="327"/>
      <c r="D3602" s="327"/>
      <c r="E3602" s="328"/>
      <c r="F3602" s="329"/>
      <c r="G3602" s="329"/>
      <c r="H3602" s="329"/>
      <c r="I3602" s="330"/>
      <c r="J3602" s="331"/>
      <c r="K3602" s="21"/>
      <c r="L3602" s="21"/>
      <c r="M3602" s="21"/>
    </row>
    <row r="3603" spans="1:30" s="20" customFormat="1" ht="24.75" customHeight="1">
      <c r="A3603" s="332"/>
      <c r="B3603" s="333" t="s">
        <v>118</v>
      </c>
      <c r="C3603" s="327">
        <v>1</v>
      </c>
      <c r="D3603" s="327">
        <v>11</v>
      </c>
      <c r="E3603" s="328">
        <v>2</v>
      </c>
      <c r="F3603" s="329">
        <v>3.06</v>
      </c>
      <c r="G3603" s="329"/>
      <c r="H3603" s="329">
        <v>2.71</v>
      </c>
      <c r="I3603" s="329">
        <f>PRODUCT(C3603:H3603)</f>
        <v>182.44</v>
      </c>
      <c r="J3603" s="331"/>
      <c r="K3603" s="21"/>
      <c r="L3603" s="21"/>
      <c r="M3603" s="21"/>
      <c r="N3603" s="20">
        <f>2.85-0.14</f>
        <v>2.71</v>
      </c>
      <c r="P3603" s="20">
        <f>2.36+3.06</f>
        <v>5.42</v>
      </c>
      <c r="Q3603" s="20">
        <f>2.85-0.14</f>
        <v>2.71</v>
      </c>
    </row>
    <row r="3604" spans="1:30" s="20" customFormat="1" ht="27" customHeight="1">
      <c r="A3604" s="332"/>
      <c r="B3604" s="333" t="s">
        <v>121</v>
      </c>
      <c r="C3604" s="327">
        <v>-1</v>
      </c>
      <c r="D3604" s="327">
        <v>11</v>
      </c>
      <c r="E3604" s="328">
        <v>2</v>
      </c>
      <c r="F3604" s="329">
        <v>1</v>
      </c>
      <c r="G3604" s="329"/>
      <c r="H3604" s="329">
        <v>2.1</v>
      </c>
      <c r="I3604" s="329">
        <f>PRODUCT(C3604:H3604)</f>
        <v>-46.2</v>
      </c>
      <c r="J3604" s="331"/>
      <c r="K3604" s="21"/>
      <c r="L3604" s="21"/>
      <c r="M3604" s="21"/>
    </row>
    <row r="3605" spans="1:30" s="20" customFormat="1" ht="27" customHeight="1">
      <c r="A3605" s="332"/>
      <c r="B3605" s="333" t="s">
        <v>116</v>
      </c>
      <c r="C3605" s="327">
        <v>1</v>
      </c>
      <c r="D3605" s="327">
        <v>11</v>
      </c>
      <c r="E3605" s="328">
        <v>2</v>
      </c>
      <c r="F3605" s="329">
        <v>6.2</v>
      </c>
      <c r="G3605" s="329"/>
      <c r="H3605" s="329">
        <v>0.25</v>
      </c>
      <c r="I3605" s="329">
        <f>PRODUCT(C3605:H3605)</f>
        <v>34.1</v>
      </c>
      <c r="J3605" s="331"/>
      <c r="K3605" s="21"/>
      <c r="L3605" s="21"/>
      <c r="M3605" s="21"/>
      <c r="N3605" s="20">
        <f>1+2.1+1+2.1</f>
        <v>6.2</v>
      </c>
      <c r="O3605" s="20">
        <f>N3605*2</f>
        <v>12.4</v>
      </c>
      <c r="P3605" s="20">
        <f>0.23+0.012+0.012</f>
        <v>0.25</v>
      </c>
    </row>
    <row r="3606" spans="1:30" s="20" customFormat="1" ht="20.25" customHeight="1">
      <c r="A3606" s="332"/>
      <c r="B3606" s="326" t="s">
        <v>888</v>
      </c>
      <c r="C3606" s="327"/>
      <c r="D3606" s="327"/>
      <c r="E3606" s="328"/>
      <c r="F3606" s="329"/>
      <c r="G3606" s="329"/>
      <c r="H3606" s="329"/>
      <c r="I3606" s="329"/>
      <c r="J3606" s="331"/>
      <c r="K3606" s="21"/>
      <c r="L3606" s="21"/>
      <c r="M3606" s="21"/>
    </row>
    <row r="3607" spans="1:30" s="20" customFormat="1" ht="20.25" customHeight="1">
      <c r="A3607" s="332"/>
      <c r="B3607" s="333" t="s">
        <v>118</v>
      </c>
      <c r="C3607" s="327">
        <v>1</v>
      </c>
      <c r="D3607" s="327">
        <v>1</v>
      </c>
      <c r="E3607" s="328">
        <v>1</v>
      </c>
      <c r="F3607" s="329">
        <v>2.76</v>
      </c>
      <c r="G3607" s="329"/>
      <c r="H3607" s="329">
        <v>2.71</v>
      </c>
      <c r="I3607" s="329">
        <f>PRODUCT(C3607:H3607)</f>
        <v>7.48</v>
      </c>
      <c r="J3607" s="331"/>
      <c r="K3607" s="21"/>
      <c r="L3607" s="21"/>
      <c r="M3607" s="21"/>
    </row>
    <row r="3608" spans="1:30" s="20" customFormat="1" ht="20.25" customHeight="1">
      <c r="A3608" s="332"/>
      <c r="B3608" s="333" t="s">
        <v>121</v>
      </c>
      <c r="C3608" s="327">
        <v>-1</v>
      </c>
      <c r="D3608" s="327">
        <v>11</v>
      </c>
      <c r="E3608" s="328">
        <v>1</v>
      </c>
      <c r="F3608" s="329">
        <v>1.2</v>
      </c>
      <c r="G3608" s="329"/>
      <c r="H3608" s="329">
        <v>2.1</v>
      </c>
      <c r="I3608" s="329">
        <f>PRODUCT(C3608:H3608)</f>
        <v>-27.72</v>
      </c>
      <c r="J3608" s="331"/>
      <c r="K3608" s="21"/>
      <c r="L3608" s="21"/>
      <c r="M3608" s="21"/>
    </row>
    <row r="3609" spans="1:30" s="20" customFormat="1" ht="20.25" customHeight="1">
      <c r="A3609" s="332"/>
      <c r="B3609" s="333" t="s">
        <v>116</v>
      </c>
      <c r="C3609" s="327">
        <v>1</v>
      </c>
      <c r="D3609" s="327">
        <v>11</v>
      </c>
      <c r="E3609" s="328">
        <v>1</v>
      </c>
      <c r="F3609" s="329">
        <v>6.6</v>
      </c>
      <c r="G3609" s="329"/>
      <c r="H3609" s="329">
        <v>0.25</v>
      </c>
      <c r="I3609" s="329">
        <f>PRODUCT(C3609:H3609)</f>
        <v>18.149999999999999</v>
      </c>
      <c r="J3609" s="331"/>
      <c r="K3609" s="21"/>
      <c r="L3609" s="21"/>
      <c r="M3609" s="21"/>
      <c r="N3609" s="20">
        <f>1.2+2.1+1.2+2.1</f>
        <v>6.6</v>
      </c>
    </row>
    <row r="3610" spans="1:30" s="20" customFormat="1" ht="20.25" customHeight="1">
      <c r="A3610" s="332"/>
      <c r="B3610" s="326" t="s">
        <v>119</v>
      </c>
      <c r="C3610" s="327"/>
      <c r="D3610" s="327"/>
      <c r="E3610" s="328"/>
      <c r="F3610" s="329"/>
      <c r="G3610" s="329"/>
      <c r="H3610" s="329"/>
      <c r="I3610" s="329"/>
      <c r="J3610" s="331"/>
      <c r="K3610" s="21"/>
      <c r="L3610" s="21"/>
      <c r="M3610" s="21"/>
    </row>
    <row r="3611" spans="1:30" s="20" customFormat="1" ht="20.25" customHeight="1">
      <c r="A3611" s="332"/>
      <c r="B3611" s="333" t="s">
        <v>118</v>
      </c>
      <c r="C3611" s="327">
        <v>1</v>
      </c>
      <c r="D3611" s="327">
        <v>1</v>
      </c>
      <c r="E3611" s="328">
        <v>1</v>
      </c>
      <c r="F3611" s="329">
        <v>5.03</v>
      </c>
      <c r="G3611" s="329"/>
      <c r="H3611" s="329">
        <v>1.5</v>
      </c>
      <c r="I3611" s="329">
        <f>PRODUCT(C3611:H3611)</f>
        <v>7.55</v>
      </c>
      <c r="J3611" s="331"/>
      <c r="K3611" s="21"/>
      <c r="L3611" s="21"/>
      <c r="M3611" s="21"/>
      <c r="N3611" s="20">
        <f>2.85-0.14</f>
        <v>2.71</v>
      </c>
    </row>
    <row r="3612" spans="1:30" s="20" customFormat="1" ht="20.25" customHeight="1">
      <c r="A3612" s="332"/>
      <c r="B3612" s="333" t="s">
        <v>120</v>
      </c>
      <c r="C3612" s="327">
        <v>-1</v>
      </c>
      <c r="D3612" s="327">
        <v>1</v>
      </c>
      <c r="E3612" s="328">
        <v>2</v>
      </c>
      <c r="F3612" s="329">
        <v>0.6</v>
      </c>
      <c r="G3612" s="329"/>
      <c r="H3612" s="329">
        <v>0.6</v>
      </c>
      <c r="I3612" s="329">
        <f>PRODUCT(C3612:H3612)</f>
        <v>-0.72</v>
      </c>
      <c r="J3612" s="331"/>
      <c r="K3612" s="21"/>
      <c r="L3612" s="21"/>
      <c r="M3612" s="21"/>
    </row>
    <row r="3613" spans="1:30" s="20" customFormat="1" ht="20.25" customHeight="1">
      <c r="A3613" s="332"/>
      <c r="B3613" s="333" t="s">
        <v>116</v>
      </c>
      <c r="C3613" s="327">
        <v>1</v>
      </c>
      <c r="D3613" s="327">
        <v>1</v>
      </c>
      <c r="E3613" s="328">
        <v>2</v>
      </c>
      <c r="F3613" s="329">
        <f>0.6*4</f>
        <v>2.4</v>
      </c>
      <c r="G3613" s="329"/>
      <c r="H3613" s="329">
        <v>0.25</v>
      </c>
      <c r="I3613" s="329">
        <f>PRODUCT(C3613:H3613)</f>
        <v>1.2</v>
      </c>
      <c r="J3613" s="331"/>
      <c r="K3613" s="21"/>
      <c r="L3613" s="21"/>
      <c r="M3613" s="21"/>
      <c r="N3613" s="20">
        <f>1.1+2.1+1.1+2.1</f>
        <v>6.4</v>
      </c>
      <c r="O3613" s="20">
        <f>N3613*2</f>
        <v>12.8</v>
      </c>
      <c r="P3613" s="20">
        <f>0.23+0.012+0.012</f>
        <v>0.25</v>
      </c>
    </row>
    <row r="3614" spans="1:30" s="20" customFormat="1" ht="20.25" customHeight="1">
      <c r="A3614" s="332"/>
      <c r="B3614" s="326" t="s">
        <v>119</v>
      </c>
      <c r="C3614" s="327"/>
      <c r="D3614" s="327"/>
      <c r="E3614" s="328"/>
      <c r="F3614" s="329"/>
      <c r="G3614" s="329"/>
      <c r="H3614" s="329"/>
      <c r="I3614" s="329"/>
      <c r="J3614" s="331"/>
      <c r="K3614" s="21"/>
      <c r="L3614" s="21"/>
      <c r="M3614" s="21"/>
    </row>
    <row r="3615" spans="1:30" s="20" customFormat="1" ht="20.25" customHeight="1">
      <c r="A3615" s="332"/>
      <c r="B3615" s="333" t="s">
        <v>118</v>
      </c>
      <c r="C3615" s="327">
        <v>1</v>
      </c>
      <c r="D3615" s="327">
        <v>1</v>
      </c>
      <c r="E3615" s="328">
        <v>1</v>
      </c>
      <c r="F3615" s="329">
        <v>2.76</v>
      </c>
      <c r="G3615" s="329"/>
      <c r="H3615" s="329">
        <v>1.5</v>
      </c>
      <c r="I3615" s="329">
        <f>PRODUCT(C3615:H3615)</f>
        <v>4.1399999999999997</v>
      </c>
      <c r="J3615" s="331"/>
      <c r="K3615" s="21"/>
      <c r="L3615" s="21"/>
      <c r="M3615" s="21"/>
    </row>
    <row r="3616" spans="1:30" s="20" customFormat="1" ht="20.25" customHeight="1">
      <c r="A3616" s="332"/>
      <c r="B3616" s="333" t="s">
        <v>117</v>
      </c>
      <c r="C3616" s="327">
        <v>-1</v>
      </c>
      <c r="D3616" s="327">
        <v>1</v>
      </c>
      <c r="E3616" s="328">
        <v>1</v>
      </c>
      <c r="F3616" s="329">
        <v>0.6</v>
      </c>
      <c r="G3616" s="329"/>
      <c r="H3616" s="329">
        <v>0.6</v>
      </c>
      <c r="I3616" s="329">
        <f>PRODUCT(C3616:H3616)</f>
        <v>-0.36</v>
      </c>
      <c r="J3616" s="331"/>
      <c r="K3616" s="21"/>
      <c r="L3616" s="21"/>
      <c r="M3616" s="21"/>
    </row>
    <row r="3617" spans="1:30" s="20" customFormat="1" ht="20.25" customHeight="1">
      <c r="A3617" s="332"/>
      <c r="B3617" s="333" t="s">
        <v>116</v>
      </c>
      <c r="C3617" s="327">
        <v>1</v>
      </c>
      <c r="D3617" s="327">
        <v>1</v>
      </c>
      <c r="E3617" s="328">
        <v>1</v>
      </c>
      <c r="F3617" s="329">
        <v>2.4</v>
      </c>
      <c r="G3617" s="329"/>
      <c r="H3617" s="329">
        <v>0.25</v>
      </c>
      <c r="I3617" s="329">
        <f>PRODUCT(C3617:H3617)</f>
        <v>0.6</v>
      </c>
      <c r="J3617" s="331"/>
      <c r="K3617" s="21"/>
      <c r="L3617" s="21"/>
      <c r="M3617" s="21"/>
      <c r="N3617" s="20">
        <f>0.6*4</f>
        <v>2.4</v>
      </c>
    </row>
    <row r="3618" spans="1:30" s="16" customFormat="1" ht="18" customHeight="1">
      <c r="A3618" s="553"/>
      <c r="B3618" s="557"/>
      <c r="C3618" s="284"/>
      <c r="D3618" s="284"/>
      <c r="E3618" s="284"/>
      <c r="F3618" s="337"/>
      <c r="G3618" s="595" t="s">
        <v>60</v>
      </c>
      <c r="H3618" s="596"/>
      <c r="I3618" s="416">
        <f>SUM(I3603:I3617)</f>
        <v>180.66</v>
      </c>
      <c r="J3618" s="343" t="s">
        <v>115</v>
      </c>
      <c r="K3618" s="18"/>
      <c r="L3618" s="18"/>
      <c r="M3618" s="18"/>
      <c r="N3618" s="17"/>
      <c r="O3618" s="17"/>
      <c r="P3618" s="17"/>
      <c r="Q3618" s="17"/>
      <c r="R3618" s="17"/>
      <c r="S3618" s="17"/>
      <c r="T3618" s="17"/>
      <c r="U3618" s="17"/>
      <c r="V3618" s="17"/>
      <c r="W3618" s="17"/>
      <c r="X3618" s="17"/>
      <c r="Y3618" s="17"/>
      <c r="Z3618" s="17"/>
      <c r="AA3618" s="17"/>
      <c r="AB3618" s="17"/>
      <c r="AC3618" s="17"/>
      <c r="AD3618" s="17"/>
    </row>
    <row r="3619" spans="1:30" s="16" customFormat="1" ht="28.5" customHeight="1">
      <c r="A3619" s="553"/>
      <c r="B3619" s="557"/>
      <c r="C3619" s="284"/>
      <c r="D3619" s="284"/>
      <c r="E3619" s="284"/>
      <c r="F3619" s="337"/>
      <c r="G3619" s="404"/>
      <c r="H3619" s="404"/>
      <c r="I3619" s="416">
        <f>ROUNDUP(I3618,1)</f>
        <v>180.7</v>
      </c>
      <c r="J3619" s="343"/>
      <c r="K3619" s="18"/>
      <c r="L3619" s="18"/>
      <c r="M3619" s="18"/>
      <c r="N3619" s="17"/>
      <c r="O3619" s="17"/>
      <c r="P3619" s="17"/>
      <c r="Q3619" s="17"/>
      <c r="R3619" s="17"/>
      <c r="S3619" s="17"/>
      <c r="T3619" s="17"/>
      <c r="U3619" s="17"/>
      <c r="V3619" s="17"/>
      <c r="W3619" s="17"/>
      <c r="X3619" s="17"/>
      <c r="Y3619" s="17"/>
      <c r="Z3619" s="17"/>
      <c r="AA3619" s="17"/>
      <c r="AB3619" s="17"/>
      <c r="AC3619" s="17"/>
      <c r="AD3619" s="17"/>
    </row>
    <row r="3620" spans="1:30" s="243" customFormat="1">
      <c r="A3620" s="562"/>
      <c r="B3620" s="563" t="s">
        <v>1157</v>
      </c>
      <c r="C3620" s="564"/>
      <c r="D3620" s="564"/>
      <c r="E3620" s="379"/>
      <c r="F3620" s="380"/>
      <c r="G3620" s="380"/>
      <c r="H3620" s="380"/>
      <c r="I3620" s="381"/>
      <c r="J3620" s="380"/>
    </row>
    <row r="3621" spans="1:30" s="383" customFormat="1" ht="78.75">
      <c r="A3621" s="376">
        <v>7</v>
      </c>
      <c r="B3621" s="377" t="s">
        <v>1267</v>
      </c>
      <c r="C3621" s="378"/>
      <c r="D3621" s="378"/>
      <c r="E3621" s="379"/>
      <c r="F3621" s="380"/>
      <c r="G3621" s="380"/>
      <c r="H3621" s="380"/>
      <c r="I3621" s="381"/>
      <c r="J3621" s="382"/>
      <c r="L3621" s="383">
        <f>440/88</f>
        <v>5</v>
      </c>
      <c r="M3621" s="383">
        <f>440/11</f>
        <v>40</v>
      </c>
      <c r="N3621" s="383">
        <f>14*7</f>
        <v>98</v>
      </c>
    </row>
    <row r="3622" spans="1:30" s="45" customFormat="1" ht="16.5">
      <c r="A3622" s="278"/>
      <c r="B3622" s="279" t="s">
        <v>1162</v>
      </c>
      <c r="C3622" s="280"/>
      <c r="D3622" s="280"/>
      <c r="E3622" s="280"/>
      <c r="F3622" s="282"/>
      <c r="G3622" s="282"/>
      <c r="H3622" s="282"/>
      <c r="I3622" s="282"/>
      <c r="J3622" s="278"/>
    </row>
    <row r="3623" spans="1:30" s="45" customFormat="1" ht="16.5">
      <c r="A3623" s="278"/>
      <c r="B3623" s="279" t="s">
        <v>158</v>
      </c>
      <c r="C3623" s="280">
        <v>1</v>
      </c>
      <c r="D3623" s="280">
        <v>100</v>
      </c>
      <c r="E3623" s="280">
        <v>2</v>
      </c>
      <c r="F3623" s="282"/>
      <c r="G3623" s="282"/>
      <c r="H3623" s="282"/>
      <c r="I3623" s="282">
        <f>PRODUCT(C3623:H3623)</f>
        <v>200</v>
      </c>
      <c r="J3623" s="278"/>
    </row>
    <row r="3624" spans="1:30" s="45" customFormat="1" ht="16.5">
      <c r="A3624" s="278"/>
      <c r="B3624" s="279" t="s">
        <v>162</v>
      </c>
      <c r="C3624" s="280">
        <v>1</v>
      </c>
      <c r="D3624" s="280">
        <v>100</v>
      </c>
      <c r="E3624" s="280">
        <v>2</v>
      </c>
      <c r="F3624" s="282"/>
      <c r="G3624" s="282"/>
      <c r="H3624" s="282"/>
      <c r="I3624" s="282">
        <f>PRODUCT(C3624:H3624)</f>
        <v>200</v>
      </c>
      <c r="J3624" s="278"/>
    </row>
    <row r="3625" spans="1:30" s="45" customFormat="1" ht="16.5">
      <c r="A3625" s="278"/>
      <c r="B3625" s="279" t="s">
        <v>105</v>
      </c>
      <c r="C3625" s="280">
        <v>1</v>
      </c>
      <c r="D3625" s="280">
        <v>100</v>
      </c>
      <c r="E3625" s="280">
        <v>1</v>
      </c>
      <c r="F3625" s="282"/>
      <c r="G3625" s="282"/>
      <c r="H3625" s="282"/>
      <c r="I3625" s="282">
        <v>160</v>
      </c>
      <c r="J3625" s="278"/>
    </row>
    <row r="3626" spans="1:30" s="45" customFormat="1" ht="16.5">
      <c r="A3626" s="278"/>
      <c r="B3626" s="279" t="s">
        <v>1158</v>
      </c>
      <c r="C3626" s="280">
        <v>1</v>
      </c>
      <c r="D3626" s="280">
        <v>100</v>
      </c>
      <c r="E3626" s="280">
        <v>1</v>
      </c>
      <c r="F3626" s="282"/>
      <c r="G3626" s="282"/>
      <c r="H3626" s="282"/>
      <c r="I3626" s="282">
        <f t="shared" ref="I3626:I3631" si="161">PRODUCT(C3626:H3626)</f>
        <v>100</v>
      </c>
      <c r="J3626" s="278"/>
    </row>
    <row r="3627" spans="1:30" s="45" customFormat="1" ht="16.5">
      <c r="A3627" s="278"/>
      <c r="B3627" s="279" t="s">
        <v>1159</v>
      </c>
      <c r="C3627" s="280">
        <v>1</v>
      </c>
      <c r="D3627" s="280">
        <v>100</v>
      </c>
      <c r="E3627" s="280">
        <v>1</v>
      </c>
      <c r="F3627" s="282"/>
      <c r="G3627" s="282"/>
      <c r="H3627" s="282"/>
      <c r="I3627" s="282">
        <f t="shared" si="161"/>
        <v>100</v>
      </c>
      <c r="J3627" s="278"/>
    </row>
    <row r="3628" spans="1:30" s="45" customFormat="1" ht="16.5">
      <c r="A3628" s="278"/>
      <c r="B3628" s="279" t="s">
        <v>170</v>
      </c>
      <c r="C3628" s="280">
        <v>1</v>
      </c>
      <c r="D3628" s="280">
        <v>13</v>
      </c>
      <c r="E3628" s="280">
        <v>14</v>
      </c>
      <c r="F3628" s="282"/>
      <c r="G3628" s="282"/>
      <c r="H3628" s="282"/>
      <c r="I3628" s="282">
        <f t="shared" si="161"/>
        <v>182</v>
      </c>
      <c r="J3628" s="278"/>
    </row>
    <row r="3629" spans="1:30" s="45" customFormat="1" ht="16.5">
      <c r="A3629" s="278"/>
      <c r="B3629" s="279" t="s">
        <v>1160</v>
      </c>
      <c r="C3629" s="280">
        <v>1</v>
      </c>
      <c r="D3629" s="280">
        <v>3</v>
      </c>
      <c r="E3629" s="280">
        <v>14</v>
      </c>
      <c r="F3629" s="282"/>
      <c r="G3629" s="282"/>
      <c r="H3629" s="282"/>
      <c r="I3629" s="282">
        <f t="shared" si="161"/>
        <v>42</v>
      </c>
      <c r="J3629" s="278"/>
    </row>
    <row r="3630" spans="1:30" s="45" customFormat="1" ht="16.5">
      <c r="A3630" s="278"/>
      <c r="B3630" s="279" t="s">
        <v>166</v>
      </c>
      <c r="C3630" s="280">
        <v>1</v>
      </c>
      <c r="D3630" s="280">
        <v>3</v>
      </c>
      <c r="E3630" s="280">
        <v>3</v>
      </c>
      <c r="F3630" s="282"/>
      <c r="G3630" s="282"/>
      <c r="H3630" s="282"/>
      <c r="I3630" s="282">
        <f t="shared" si="161"/>
        <v>9</v>
      </c>
      <c r="J3630" s="278"/>
    </row>
    <row r="3631" spans="1:30" s="45" customFormat="1" ht="31.5">
      <c r="A3631" s="278"/>
      <c r="B3631" s="279" t="s">
        <v>1161</v>
      </c>
      <c r="C3631" s="280">
        <v>1</v>
      </c>
      <c r="D3631" s="280">
        <v>1</v>
      </c>
      <c r="E3631" s="280">
        <v>73</v>
      </c>
      <c r="F3631" s="282"/>
      <c r="G3631" s="282"/>
      <c r="H3631" s="282"/>
      <c r="I3631" s="282">
        <f t="shared" si="161"/>
        <v>73</v>
      </c>
      <c r="J3631" s="278"/>
      <c r="K3631" s="384">
        <f>E3628+E3627+E3626+E3625+E3624+E3623</f>
        <v>21</v>
      </c>
    </row>
    <row r="3632" spans="1:30" s="391" customFormat="1">
      <c r="A3632" s="385"/>
      <c r="B3632" s="377"/>
      <c r="C3632" s="386"/>
      <c r="D3632" s="377"/>
      <c r="E3632" s="385"/>
      <c r="F3632" s="387"/>
      <c r="G3632" s="387"/>
      <c r="H3632" s="387"/>
      <c r="I3632" s="388">
        <f>SUM(I3622:I3631)</f>
        <v>1066</v>
      </c>
      <c r="J3632" s="389" t="s">
        <v>23</v>
      </c>
      <c r="K3632" s="390"/>
    </row>
    <row r="3633" spans="1:11" s="383" customFormat="1" ht="63">
      <c r="A3633" s="376">
        <v>8</v>
      </c>
      <c r="B3633" s="378" t="s">
        <v>1579</v>
      </c>
      <c r="C3633" s="378"/>
      <c r="D3633" s="378"/>
      <c r="E3633" s="379"/>
      <c r="F3633" s="380"/>
      <c r="G3633" s="380"/>
      <c r="H3633" s="380"/>
      <c r="I3633" s="381"/>
      <c r="J3633" s="382"/>
    </row>
    <row r="3634" spans="1:11" s="391" customFormat="1">
      <c r="A3634" s="385"/>
      <c r="B3634" s="377" t="s">
        <v>1163</v>
      </c>
      <c r="C3634" s="386">
        <v>1</v>
      </c>
      <c r="D3634" s="386">
        <v>100</v>
      </c>
      <c r="E3634" s="385">
        <v>8</v>
      </c>
      <c r="F3634" s="387"/>
      <c r="G3634" s="387"/>
      <c r="H3634" s="387"/>
      <c r="I3634" s="282">
        <f>PRODUCT(C3634:H3634)</f>
        <v>800</v>
      </c>
      <c r="J3634" s="387"/>
      <c r="K3634" s="392"/>
    </row>
    <row r="3635" spans="1:11" s="391" customFormat="1">
      <c r="A3635" s="385"/>
      <c r="B3635" s="393" t="s">
        <v>1164</v>
      </c>
      <c r="C3635" s="386"/>
      <c r="D3635" s="386"/>
      <c r="E3635" s="385"/>
      <c r="F3635" s="387"/>
      <c r="G3635" s="387"/>
      <c r="H3635" s="387"/>
      <c r="I3635" s="282"/>
      <c r="J3635" s="387"/>
      <c r="K3635" s="392"/>
    </row>
    <row r="3636" spans="1:11" s="391" customFormat="1">
      <c r="A3636" s="385"/>
      <c r="B3636" s="377"/>
      <c r="C3636" s="386"/>
      <c r="D3636" s="377"/>
      <c r="E3636" s="385"/>
      <c r="F3636" s="387"/>
      <c r="G3636" s="387"/>
      <c r="H3636" s="387"/>
      <c r="I3636" s="388">
        <f>SUM(I3634:I3635)</f>
        <v>800</v>
      </c>
      <c r="J3636" s="389" t="s">
        <v>23</v>
      </c>
      <c r="K3636" s="390"/>
    </row>
    <row r="3637" spans="1:11" s="383" customFormat="1" ht="47.25">
      <c r="A3637" s="376">
        <v>9</v>
      </c>
      <c r="B3637" s="393" t="s">
        <v>1165</v>
      </c>
      <c r="C3637" s="376"/>
      <c r="D3637" s="376"/>
      <c r="E3637" s="379"/>
      <c r="F3637" s="380"/>
      <c r="G3637" s="380"/>
      <c r="H3637" s="380"/>
      <c r="I3637" s="379"/>
      <c r="J3637" s="382"/>
    </row>
    <row r="3638" spans="1:11" s="45" customFormat="1" ht="16.5">
      <c r="A3638" s="288"/>
      <c r="B3638" s="279" t="s">
        <v>962</v>
      </c>
      <c r="C3638" s="280">
        <v>1</v>
      </c>
      <c r="D3638" s="280">
        <v>1</v>
      </c>
      <c r="E3638" s="280">
        <v>100</v>
      </c>
      <c r="F3638" s="415"/>
      <c r="G3638" s="415"/>
      <c r="H3638" s="415"/>
      <c r="I3638" s="282">
        <f>PRODUCT(C3638:H3638)</f>
        <v>100</v>
      </c>
      <c r="J3638" s="278"/>
    </row>
    <row r="3639" spans="1:11" s="45" customFormat="1" ht="16.5">
      <c r="A3639" s="288"/>
      <c r="B3639" s="279" t="s">
        <v>1166</v>
      </c>
      <c r="C3639" s="280">
        <v>1</v>
      </c>
      <c r="D3639" s="280">
        <v>3</v>
      </c>
      <c r="E3639" s="280">
        <v>3</v>
      </c>
      <c r="F3639" s="415"/>
      <c r="G3639" s="415"/>
      <c r="H3639" s="415"/>
      <c r="I3639" s="282">
        <f>PRODUCT(C3639:H3639)</f>
        <v>9</v>
      </c>
      <c r="J3639" s="278"/>
    </row>
    <row r="3640" spans="1:11" s="45" customFormat="1" ht="16.5">
      <c r="A3640" s="288"/>
      <c r="B3640" s="279" t="s">
        <v>1167</v>
      </c>
      <c r="C3640" s="280">
        <v>1</v>
      </c>
      <c r="D3640" s="280">
        <v>3</v>
      </c>
      <c r="E3640" s="280">
        <v>1</v>
      </c>
      <c r="F3640" s="415"/>
      <c r="G3640" s="415"/>
      <c r="H3640" s="415"/>
      <c r="I3640" s="282">
        <f>PRODUCT(C3640:H3640)</f>
        <v>3</v>
      </c>
      <c r="J3640" s="278"/>
    </row>
    <row r="3641" spans="1:11" s="45" customFormat="1" ht="31.5">
      <c r="A3641" s="288"/>
      <c r="B3641" s="377" t="s">
        <v>1168</v>
      </c>
      <c r="C3641" s="280">
        <v>1</v>
      </c>
      <c r="D3641" s="280">
        <v>6</v>
      </c>
      <c r="E3641" s="280">
        <v>1</v>
      </c>
      <c r="F3641" s="415"/>
      <c r="G3641" s="415"/>
      <c r="H3641" s="415"/>
      <c r="I3641" s="282">
        <f>PRODUCT(C3641:H3641)</f>
        <v>6</v>
      </c>
      <c r="J3641" s="278"/>
    </row>
    <row r="3642" spans="1:11" s="391" customFormat="1">
      <c r="A3642" s="385"/>
      <c r="B3642" s="393"/>
      <c r="C3642" s="386"/>
      <c r="D3642" s="386"/>
      <c r="E3642" s="385"/>
      <c r="F3642" s="387"/>
      <c r="G3642" s="387"/>
      <c r="H3642" s="387"/>
      <c r="I3642" s="388">
        <f>SUM(I3638:I3641)</f>
        <v>118</v>
      </c>
      <c r="J3642" s="389" t="s">
        <v>23</v>
      </c>
      <c r="K3642" s="390"/>
    </row>
    <row r="3643" spans="1:11" s="383" customFormat="1" ht="47.25">
      <c r="A3643" s="376">
        <v>10</v>
      </c>
      <c r="B3643" s="378" t="s">
        <v>1169</v>
      </c>
      <c r="C3643" s="378"/>
      <c r="D3643" s="378"/>
      <c r="E3643" s="379"/>
      <c r="F3643" s="380"/>
      <c r="G3643" s="380"/>
      <c r="H3643" s="380"/>
      <c r="I3643" s="381"/>
      <c r="J3643" s="382"/>
    </row>
    <row r="3644" spans="1:11" s="45" customFormat="1" ht="16.5">
      <c r="A3644" s="288"/>
      <c r="B3644" s="279" t="s">
        <v>962</v>
      </c>
      <c r="C3644" s="280">
        <v>1</v>
      </c>
      <c r="D3644" s="280">
        <v>1</v>
      </c>
      <c r="E3644" s="280">
        <v>100</v>
      </c>
      <c r="F3644" s="415"/>
      <c r="G3644" s="415"/>
      <c r="H3644" s="415"/>
      <c r="I3644" s="282">
        <f>PRODUCT(C3644:H3644)</f>
        <v>100</v>
      </c>
      <c r="J3644" s="278"/>
    </row>
    <row r="3645" spans="1:11" s="45" customFormat="1" ht="16.5">
      <c r="A3645" s="288"/>
      <c r="B3645" s="279" t="s">
        <v>1166</v>
      </c>
      <c r="C3645" s="280">
        <v>1</v>
      </c>
      <c r="D3645" s="280">
        <v>3</v>
      </c>
      <c r="E3645" s="280">
        <v>3</v>
      </c>
      <c r="F3645" s="415"/>
      <c r="G3645" s="415"/>
      <c r="H3645" s="415"/>
      <c r="I3645" s="282">
        <f>PRODUCT(C3645:H3645)</f>
        <v>9</v>
      </c>
      <c r="J3645" s="278"/>
    </row>
    <row r="3646" spans="1:11" s="45" customFormat="1" ht="16.5">
      <c r="A3646" s="288"/>
      <c r="B3646" s="279" t="s">
        <v>1167</v>
      </c>
      <c r="C3646" s="280">
        <v>1</v>
      </c>
      <c r="D3646" s="280">
        <v>3</v>
      </c>
      <c r="E3646" s="280">
        <v>1</v>
      </c>
      <c r="F3646" s="415"/>
      <c r="G3646" s="415"/>
      <c r="H3646" s="415"/>
      <c r="I3646" s="282">
        <f>PRODUCT(C3646:H3646)</f>
        <v>3</v>
      </c>
      <c r="J3646" s="278"/>
    </row>
    <row r="3647" spans="1:11" s="45" customFormat="1" ht="31.5">
      <c r="A3647" s="288"/>
      <c r="B3647" s="377" t="s">
        <v>1168</v>
      </c>
      <c r="C3647" s="280">
        <v>1</v>
      </c>
      <c r="D3647" s="280">
        <v>6</v>
      </c>
      <c r="E3647" s="280">
        <v>1</v>
      </c>
      <c r="F3647" s="415"/>
      <c r="G3647" s="415"/>
      <c r="H3647" s="415"/>
      <c r="I3647" s="282">
        <f>PRODUCT(C3647:H3647)</f>
        <v>6</v>
      </c>
      <c r="J3647" s="278"/>
    </row>
    <row r="3648" spans="1:11" s="391" customFormat="1">
      <c r="A3648" s="385"/>
      <c r="B3648" s="377"/>
      <c r="C3648" s="386"/>
      <c r="D3648" s="377"/>
      <c r="E3648" s="385"/>
      <c r="F3648" s="387"/>
      <c r="G3648" s="387"/>
      <c r="H3648" s="387"/>
      <c r="I3648" s="388">
        <f>SUM(I3644:I3647)</f>
        <v>118</v>
      </c>
      <c r="J3648" s="389" t="s">
        <v>23</v>
      </c>
      <c r="K3648" s="390"/>
    </row>
    <row r="3649" spans="1:30" s="383" customFormat="1" ht="110.25">
      <c r="A3649" s="376">
        <v>11</v>
      </c>
      <c r="B3649" s="377" t="s">
        <v>1268</v>
      </c>
      <c r="C3649" s="378"/>
      <c r="D3649" s="378"/>
      <c r="E3649" s="379"/>
      <c r="F3649" s="380"/>
      <c r="G3649" s="380"/>
      <c r="H3649" s="380"/>
      <c r="I3649" s="381"/>
      <c r="J3649" s="382"/>
    </row>
    <row r="3650" spans="1:30" s="45" customFormat="1" ht="16.5">
      <c r="A3650" s="278"/>
      <c r="B3650" s="279" t="s">
        <v>1174</v>
      </c>
      <c r="C3650" s="280">
        <v>1</v>
      </c>
      <c r="D3650" s="280">
        <v>1</v>
      </c>
      <c r="E3650" s="280">
        <v>10</v>
      </c>
      <c r="F3650" s="282"/>
      <c r="G3650" s="282"/>
      <c r="H3650" s="282"/>
      <c r="I3650" s="282">
        <f>PRODUCT(C3650:H3650)</f>
        <v>10</v>
      </c>
      <c r="J3650" s="288"/>
    </row>
    <row r="3651" spans="1:30" s="391" customFormat="1">
      <c r="A3651" s="385"/>
      <c r="B3651" s="377"/>
      <c r="C3651" s="386"/>
      <c r="D3651" s="377"/>
      <c r="E3651" s="385"/>
      <c r="F3651" s="387"/>
      <c r="G3651" s="387"/>
      <c r="H3651" s="387"/>
      <c r="I3651" s="388">
        <f>SUM(I3650:I3650)</f>
        <v>10</v>
      </c>
      <c r="J3651" s="389" t="s">
        <v>23</v>
      </c>
      <c r="K3651" s="390"/>
    </row>
    <row r="3652" spans="1:30" s="45" customFormat="1" ht="47.25">
      <c r="A3652" s="278">
        <v>12</v>
      </c>
      <c r="B3652" s="279" t="s">
        <v>1170</v>
      </c>
      <c r="C3652" s="280"/>
      <c r="D3652" s="280"/>
      <c r="E3652" s="280"/>
      <c r="F3652" s="282"/>
      <c r="G3652" s="282"/>
      <c r="H3652" s="282"/>
      <c r="I3652" s="282"/>
      <c r="J3652" s="394"/>
    </row>
    <row r="3653" spans="1:30" s="391" customFormat="1">
      <c r="A3653" s="385"/>
      <c r="B3653" s="377" t="s">
        <v>1163</v>
      </c>
      <c r="C3653" s="386">
        <v>1</v>
      </c>
      <c r="D3653" s="386">
        <v>100</v>
      </c>
      <c r="E3653" s="385">
        <v>10</v>
      </c>
      <c r="F3653" s="387"/>
      <c r="G3653" s="387"/>
      <c r="H3653" s="387"/>
      <c r="I3653" s="282">
        <f>PRODUCT(C3653:H3653)</f>
        <v>1000</v>
      </c>
      <c r="J3653" s="387"/>
      <c r="K3653" s="392"/>
    </row>
    <row r="3654" spans="1:30" s="391" customFormat="1" ht="31.5">
      <c r="A3654" s="385"/>
      <c r="B3654" s="377" t="s">
        <v>1171</v>
      </c>
      <c r="C3654" s="386">
        <v>1</v>
      </c>
      <c r="D3654" s="386">
        <v>6</v>
      </c>
      <c r="E3654" s="385">
        <v>1</v>
      </c>
      <c r="F3654" s="387"/>
      <c r="G3654" s="387"/>
      <c r="H3654" s="387"/>
      <c r="I3654" s="282">
        <f>PRODUCT(C3654:H3654)</f>
        <v>6</v>
      </c>
      <c r="J3654" s="387"/>
      <c r="K3654" s="392"/>
    </row>
    <row r="3655" spans="1:30" s="45" customFormat="1" ht="16.5">
      <c r="A3655" s="278"/>
      <c r="B3655" s="279"/>
      <c r="C3655" s="280"/>
      <c r="D3655" s="280"/>
      <c r="E3655" s="280"/>
      <c r="F3655" s="282"/>
      <c r="G3655" s="606" t="s">
        <v>60</v>
      </c>
      <c r="H3655" s="606"/>
      <c r="I3655" s="415">
        <f>SUM(I3653:I3654)</f>
        <v>1006</v>
      </c>
      <c r="J3655" s="288" t="s">
        <v>23</v>
      </c>
    </row>
    <row r="3656" spans="1:30" s="246" customFormat="1" ht="47.25">
      <c r="A3656" s="278">
        <v>13</v>
      </c>
      <c r="B3656" s="279" t="s">
        <v>1172</v>
      </c>
      <c r="C3656" s="280"/>
      <c r="D3656" s="280"/>
      <c r="E3656" s="280"/>
      <c r="F3656" s="282"/>
      <c r="G3656" s="282"/>
      <c r="H3656" s="282"/>
      <c r="I3656" s="282"/>
      <c r="J3656" s="565"/>
    </row>
    <row r="3657" spans="1:30" s="246" customFormat="1" ht="23.25" customHeight="1">
      <c r="A3657" s="278"/>
      <c r="B3657" s="279" t="s">
        <v>1173</v>
      </c>
      <c r="C3657" s="280">
        <v>1</v>
      </c>
      <c r="D3657" s="280">
        <v>1</v>
      </c>
      <c r="E3657" s="280">
        <v>100</v>
      </c>
      <c r="F3657" s="282">
        <v>10</v>
      </c>
      <c r="G3657" s="282"/>
      <c r="H3657" s="282"/>
      <c r="I3657" s="566">
        <f>PRODUCT(C3657:H3657)</f>
        <v>1000</v>
      </c>
      <c r="J3657" s="565"/>
    </row>
    <row r="3658" spans="1:30" s="246" customFormat="1" ht="23.25" customHeight="1">
      <c r="A3658" s="278"/>
      <c r="B3658" s="279"/>
      <c r="C3658" s="280"/>
      <c r="D3658" s="280"/>
      <c r="E3658" s="280"/>
      <c r="F3658" s="282"/>
      <c r="G3658" s="282"/>
      <c r="H3658" s="282"/>
      <c r="I3658" s="415">
        <f>SUM(I3657:I3657)</f>
        <v>1000</v>
      </c>
      <c r="J3658" s="288" t="s">
        <v>47</v>
      </c>
    </row>
    <row r="3659" spans="1:30" s="245" customFormat="1" ht="16.5" customHeight="1">
      <c r="A3659" s="385"/>
      <c r="B3659" s="334" t="s">
        <v>1270</v>
      </c>
      <c r="C3659" s="386"/>
      <c r="D3659" s="377"/>
      <c r="E3659" s="385"/>
      <c r="F3659" s="387"/>
      <c r="G3659" s="387"/>
      <c r="H3659" s="387"/>
      <c r="I3659" s="388"/>
      <c r="J3659" s="389"/>
      <c r="K3659" s="244"/>
    </row>
    <row r="3660" spans="1:30" s="16" customFormat="1" ht="18" customHeight="1">
      <c r="A3660" s="553"/>
      <c r="B3660" s="557" t="s">
        <v>958</v>
      </c>
      <c r="C3660" s="491">
        <v>1</v>
      </c>
      <c r="D3660" s="491">
        <v>1</v>
      </c>
      <c r="E3660" s="491">
        <v>100</v>
      </c>
      <c r="F3660" s="337">
        <v>1.2</v>
      </c>
      <c r="G3660" s="347">
        <v>2.29</v>
      </c>
      <c r="H3660" s="518"/>
      <c r="I3660" s="566">
        <f>PRODUCT(C3660:H3660)</f>
        <v>274.8</v>
      </c>
      <c r="J3660" s="343"/>
      <c r="K3660" s="18"/>
      <c r="L3660" s="18"/>
      <c r="M3660" s="18"/>
      <c r="N3660" s="17"/>
      <c r="O3660" s="17"/>
      <c r="P3660" s="17"/>
      <c r="Q3660" s="17"/>
      <c r="R3660" s="17"/>
      <c r="S3660" s="17"/>
      <c r="T3660" s="17"/>
      <c r="U3660" s="17"/>
      <c r="V3660" s="17"/>
      <c r="W3660" s="17"/>
      <c r="X3660" s="17"/>
      <c r="Y3660" s="17"/>
      <c r="Z3660" s="17"/>
      <c r="AA3660" s="17"/>
      <c r="AB3660" s="17"/>
      <c r="AC3660" s="17"/>
      <c r="AD3660" s="17"/>
    </row>
    <row r="3661" spans="1:30" s="16" customFormat="1" ht="18" customHeight="1">
      <c r="A3661" s="553"/>
      <c r="B3661" s="557" t="s">
        <v>1271</v>
      </c>
      <c r="C3661" s="491">
        <v>1</v>
      </c>
      <c r="D3661" s="491">
        <v>1</v>
      </c>
      <c r="E3661" s="491">
        <v>100</v>
      </c>
      <c r="F3661" s="337">
        <v>1.2</v>
      </c>
      <c r="G3661" s="347">
        <v>2.1</v>
      </c>
      <c r="H3661" s="518"/>
      <c r="I3661" s="566">
        <f>PRODUCT(C3661:H3661)</f>
        <v>252</v>
      </c>
      <c r="J3661" s="343"/>
      <c r="K3661" s="18"/>
      <c r="L3661" s="18"/>
      <c r="M3661" s="18"/>
      <c r="N3661" s="17"/>
      <c r="O3661" s="17"/>
      <c r="P3661" s="17"/>
      <c r="Q3661" s="17"/>
      <c r="R3661" s="17"/>
      <c r="S3661" s="17"/>
      <c r="T3661" s="17"/>
      <c r="U3661" s="17"/>
      <c r="V3661" s="17"/>
      <c r="W3661" s="17"/>
      <c r="X3661" s="17"/>
      <c r="Y3661" s="17"/>
      <c r="Z3661" s="17"/>
      <c r="AA3661" s="17"/>
      <c r="AB3661" s="17"/>
      <c r="AC3661" s="17"/>
      <c r="AD3661" s="17"/>
    </row>
    <row r="3662" spans="1:30" s="16" customFormat="1" ht="18" customHeight="1">
      <c r="A3662" s="553"/>
      <c r="B3662" s="557" t="s">
        <v>170</v>
      </c>
      <c r="C3662" s="491">
        <v>1</v>
      </c>
      <c r="D3662" s="491">
        <v>1</v>
      </c>
      <c r="E3662" s="491">
        <v>100</v>
      </c>
      <c r="F3662" s="337">
        <v>1.2</v>
      </c>
      <c r="G3662" s="347">
        <v>1</v>
      </c>
      <c r="H3662" s="518"/>
      <c r="I3662" s="566">
        <f>PRODUCT(C3662:H3662)</f>
        <v>120</v>
      </c>
      <c r="J3662" s="343"/>
      <c r="K3662" s="18"/>
      <c r="L3662" s="18"/>
      <c r="M3662" s="18"/>
      <c r="N3662" s="17"/>
      <c r="O3662" s="17"/>
      <c r="P3662" s="17"/>
      <c r="Q3662" s="17"/>
      <c r="R3662" s="17"/>
      <c r="S3662" s="17"/>
      <c r="T3662" s="17"/>
      <c r="U3662" s="17"/>
      <c r="V3662" s="17"/>
      <c r="W3662" s="17"/>
      <c r="X3662" s="17"/>
      <c r="Y3662" s="17"/>
      <c r="Z3662" s="17"/>
      <c r="AA3662" s="17"/>
      <c r="AB3662" s="17"/>
      <c r="AC3662" s="17"/>
      <c r="AD3662" s="17"/>
    </row>
    <row r="3663" spans="1:30" s="16" customFormat="1" ht="18" customHeight="1">
      <c r="A3663" s="553"/>
      <c r="B3663" s="557"/>
      <c r="C3663" s="284"/>
      <c r="D3663" s="284"/>
      <c r="E3663" s="284"/>
      <c r="F3663" s="337"/>
      <c r="G3663" s="339"/>
      <c r="H3663" s="518"/>
      <c r="I3663" s="416">
        <f>SUM(I3660:I3662)</f>
        <v>646.79999999999995</v>
      </c>
      <c r="J3663" s="343"/>
      <c r="K3663" s="18"/>
      <c r="L3663" s="18"/>
      <c r="M3663" s="18"/>
      <c r="N3663" s="17"/>
      <c r="O3663" s="17"/>
      <c r="P3663" s="17"/>
      <c r="Q3663" s="17"/>
      <c r="R3663" s="17"/>
      <c r="S3663" s="17"/>
      <c r="T3663" s="17"/>
      <c r="U3663" s="17"/>
      <c r="V3663" s="17"/>
      <c r="W3663" s="17"/>
      <c r="X3663" s="17"/>
      <c r="Y3663" s="17"/>
      <c r="Z3663" s="17"/>
      <c r="AA3663" s="17"/>
      <c r="AB3663" s="17"/>
      <c r="AC3663" s="17"/>
      <c r="AD3663" s="17"/>
    </row>
    <row r="3664" spans="1:30" s="16" customFormat="1" ht="18" customHeight="1">
      <c r="A3664" s="553"/>
      <c r="B3664" s="557"/>
      <c r="C3664" s="284"/>
      <c r="D3664" s="284"/>
      <c r="E3664" s="284"/>
      <c r="F3664" s="337"/>
      <c r="G3664" s="606" t="s">
        <v>60</v>
      </c>
      <c r="H3664" s="606"/>
      <c r="I3664" s="415">
        <f>SUM(I3663:I3663)</f>
        <v>646.79999999999995</v>
      </c>
      <c r="J3664" s="343"/>
      <c r="K3664" s="18"/>
      <c r="L3664" s="18"/>
      <c r="M3664" s="18"/>
      <c r="N3664" s="17"/>
      <c r="O3664" s="17"/>
      <c r="P3664" s="17"/>
      <c r="Q3664" s="17"/>
      <c r="R3664" s="17"/>
      <c r="S3664" s="17"/>
      <c r="T3664" s="17"/>
      <c r="U3664" s="17"/>
      <c r="V3664" s="17"/>
      <c r="W3664" s="17"/>
      <c r="X3664" s="17"/>
      <c r="Y3664" s="17"/>
      <c r="Z3664" s="17"/>
      <c r="AA3664" s="17"/>
      <c r="AB3664" s="17"/>
      <c r="AC3664" s="17"/>
      <c r="AD3664" s="17"/>
    </row>
    <row r="3665" spans="1:30" s="16" customFormat="1" ht="18" customHeight="1">
      <c r="A3665" s="553"/>
      <c r="B3665" s="557" t="s">
        <v>1273</v>
      </c>
      <c r="C3665" s="284"/>
      <c r="D3665" s="284"/>
      <c r="E3665" s="284"/>
      <c r="F3665" s="337"/>
      <c r="G3665" s="416"/>
      <c r="H3665" s="417"/>
      <c r="I3665" s="416"/>
      <c r="J3665" s="343"/>
      <c r="K3665" s="18"/>
      <c r="L3665" s="18"/>
      <c r="M3665" s="18"/>
      <c r="N3665" s="17"/>
      <c r="O3665" s="17"/>
      <c r="P3665" s="17"/>
      <c r="Q3665" s="17"/>
      <c r="R3665" s="17"/>
      <c r="S3665" s="17"/>
      <c r="T3665" s="17"/>
      <c r="U3665" s="17"/>
      <c r="V3665" s="17"/>
      <c r="W3665" s="17"/>
      <c r="X3665" s="17"/>
      <c r="Y3665" s="17"/>
      <c r="Z3665" s="17"/>
      <c r="AA3665" s="17"/>
      <c r="AB3665" s="17"/>
      <c r="AC3665" s="17"/>
      <c r="AD3665" s="17"/>
    </row>
    <row r="3666" spans="1:30" s="16" customFormat="1" ht="96.75" customHeight="1">
      <c r="A3666" s="553"/>
      <c r="B3666" s="561" t="s">
        <v>1274</v>
      </c>
      <c r="C3666" s="284"/>
      <c r="D3666" s="284"/>
      <c r="E3666" s="284"/>
      <c r="F3666" s="337"/>
      <c r="G3666" s="416"/>
      <c r="H3666" s="417"/>
      <c r="I3666" s="416"/>
      <c r="J3666" s="343"/>
      <c r="K3666" s="18"/>
      <c r="L3666" s="18"/>
      <c r="M3666" s="18"/>
      <c r="N3666" s="17"/>
      <c r="O3666" s="17"/>
      <c r="P3666" s="17"/>
      <c r="Q3666" s="17"/>
      <c r="R3666" s="17"/>
      <c r="S3666" s="17"/>
      <c r="T3666" s="17"/>
      <c r="U3666" s="17"/>
      <c r="V3666" s="17"/>
      <c r="W3666" s="17"/>
      <c r="X3666" s="17"/>
      <c r="Y3666" s="17"/>
      <c r="Z3666" s="17"/>
      <c r="AA3666" s="17"/>
      <c r="AB3666" s="17"/>
      <c r="AC3666" s="17"/>
      <c r="AD3666" s="17"/>
    </row>
    <row r="3667" spans="1:30" s="16" customFormat="1" ht="18" customHeight="1">
      <c r="A3667" s="553"/>
      <c r="B3667" s="557" t="s">
        <v>1275</v>
      </c>
      <c r="C3667" s="284"/>
      <c r="D3667" s="284"/>
      <c r="E3667" s="284"/>
      <c r="F3667" s="337"/>
      <c r="G3667" s="416"/>
      <c r="H3667" s="417"/>
      <c r="I3667" s="416"/>
      <c r="J3667" s="343"/>
      <c r="K3667" s="18"/>
      <c r="L3667" s="18"/>
      <c r="M3667" s="18"/>
      <c r="N3667" s="17"/>
      <c r="O3667" s="17"/>
      <c r="P3667" s="17"/>
      <c r="Q3667" s="17"/>
      <c r="R3667" s="17"/>
      <c r="S3667" s="17"/>
      <c r="T3667" s="17"/>
      <c r="U3667" s="17"/>
      <c r="V3667" s="17"/>
      <c r="W3667" s="17"/>
      <c r="X3667" s="17"/>
      <c r="Y3667" s="17"/>
      <c r="Z3667" s="17"/>
      <c r="AA3667" s="17"/>
      <c r="AB3667" s="17"/>
      <c r="AC3667" s="17"/>
      <c r="AD3667" s="17"/>
    </row>
    <row r="3668" spans="1:30" s="16" customFormat="1" ht="99.75" customHeight="1">
      <c r="A3668" s="553"/>
      <c r="B3668" s="561" t="s">
        <v>1276</v>
      </c>
      <c r="C3668" s="284"/>
      <c r="D3668" s="284"/>
      <c r="E3668" s="284"/>
      <c r="F3668" s="337"/>
      <c r="G3668" s="416"/>
      <c r="H3668" s="417"/>
      <c r="I3668" s="416"/>
      <c r="J3668" s="343"/>
      <c r="K3668" s="18"/>
      <c r="L3668" s="18"/>
      <c r="M3668" s="18"/>
      <c r="N3668" s="17"/>
      <c r="O3668" s="17"/>
      <c r="P3668" s="17"/>
      <c r="Q3668" s="17"/>
      <c r="R3668" s="17"/>
      <c r="S3668" s="17"/>
      <c r="T3668" s="17"/>
      <c r="U3668" s="17"/>
      <c r="V3668" s="17"/>
      <c r="W3668" s="17"/>
      <c r="X3668" s="17"/>
      <c r="Y3668" s="17"/>
      <c r="Z3668" s="17"/>
      <c r="AA3668" s="17"/>
      <c r="AB3668" s="17"/>
      <c r="AC3668" s="17"/>
      <c r="AD3668" s="17"/>
    </row>
    <row r="3669" spans="1:30" s="16" customFormat="1" ht="18" customHeight="1">
      <c r="A3669" s="553"/>
      <c r="B3669" s="567" t="s">
        <v>1277</v>
      </c>
      <c r="C3669" s="284"/>
      <c r="D3669" s="284"/>
      <c r="E3669" s="284"/>
      <c r="F3669" s="337"/>
      <c r="G3669" s="416"/>
      <c r="H3669" s="417"/>
      <c r="I3669" s="416"/>
      <c r="J3669" s="343"/>
      <c r="K3669" s="18"/>
      <c r="L3669" s="18"/>
      <c r="M3669" s="18"/>
      <c r="N3669" s="17"/>
      <c r="O3669" s="17"/>
      <c r="P3669" s="17"/>
      <c r="Q3669" s="17"/>
      <c r="R3669" s="17"/>
      <c r="S3669" s="17"/>
      <c r="T3669" s="17"/>
      <c r="U3669" s="17"/>
      <c r="V3669" s="17"/>
      <c r="W3669" s="17"/>
      <c r="X3669" s="17"/>
      <c r="Y3669" s="17"/>
      <c r="Z3669" s="17"/>
      <c r="AA3669" s="17"/>
      <c r="AB3669" s="17"/>
      <c r="AC3669" s="17"/>
      <c r="AD3669" s="17"/>
    </row>
    <row r="3670" spans="1:30" s="16" customFormat="1" ht="18" customHeight="1">
      <c r="A3670" s="553"/>
      <c r="B3670" s="568" t="s">
        <v>1278</v>
      </c>
      <c r="C3670" s="284"/>
      <c r="D3670" s="284"/>
      <c r="E3670" s="284"/>
      <c r="F3670" s="337"/>
      <c r="G3670" s="416"/>
      <c r="H3670" s="417"/>
      <c r="I3670" s="416"/>
      <c r="J3670" s="343"/>
      <c r="K3670" s="18"/>
      <c r="L3670" s="18"/>
      <c r="M3670" s="18"/>
      <c r="N3670" s="17"/>
      <c r="O3670" s="17"/>
      <c r="P3670" s="17"/>
      <c r="Q3670" s="17"/>
      <c r="R3670" s="17"/>
      <c r="S3670" s="17"/>
      <c r="T3670" s="17"/>
      <c r="U3670" s="17"/>
      <c r="V3670" s="17"/>
      <c r="W3670" s="17"/>
      <c r="X3670" s="17"/>
      <c r="Y3670" s="17"/>
      <c r="Z3670" s="17"/>
      <c r="AA3670" s="17"/>
      <c r="AB3670" s="17"/>
      <c r="AC3670" s="17"/>
      <c r="AD3670" s="17"/>
    </row>
    <row r="3671" spans="1:30" s="16" customFormat="1" ht="18" customHeight="1">
      <c r="A3671" s="553"/>
      <c r="B3671" s="569" t="s">
        <v>1279</v>
      </c>
      <c r="C3671" s="284"/>
      <c r="D3671" s="284"/>
      <c r="E3671" s="284"/>
      <c r="F3671" s="337"/>
      <c r="G3671" s="416"/>
      <c r="H3671" s="417"/>
      <c r="I3671" s="416"/>
      <c r="J3671" s="343"/>
      <c r="K3671" s="18"/>
      <c r="L3671" s="18"/>
      <c r="M3671" s="18"/>
      <c r="N3671" s="17"/>
      <c r="O3671" s="17"/>
      <c r="P3671" s="17"/>
      <c r="Q3671" s="17"/>
      <c r="R3671" s="17"/>
      <c r="S3671" s="17"/>
      <c r="T3671" s="17"/>
      <c r="U3671" s="17"/>
      <c r="V3671" s="17"/>
      <c r="W3671" s="17"/>
      <c r="X3671" s="17"/>
      <c r="Y3671" s="17"/>
      <c r="Z3671" s="17"/>
      <c r="AA3671" s="17"/>
      <c r="AB3671" s="17"/>
      <c r="AC3671" s="17"/>
      <c r="AD3671" s="17"/>
    </row>
    <row r="3672" spans="1:30" s="16" customFormat="1" ht="18" customHeight="1">
      <c r="A3672" s="553"/>
      <c r="B3672" s="569" t="s">
        <v>1280</v>
      </c>
      <c r="C3672" s="284"/>
      <c r="D3672" s="284"/>
      <c r="E3672" s="284"/>
      <c r="F3672" s="337"/>
      <c r="G3672" s="416"/>
      <c r="H3672" s="417"/>
      <c r="I3672" s="416"/>
      <c r="J3672" s="343"/>
      <c r="K3672" s="18"/>
      <c r="L3672" s="18"/>
      <c r="M3672" s="18"/>
      <c r="N3672" s="17"/>
      <c r="O3672" s="17"/>
      <c r="P3672" s="17"/>
      <c r="Q3672" s="17"/>
      <c r="R3672" s="17"/>
      <c r="S3672" s="17"/>
      <c r="T3672" s="17"/>
      <c r="U3672" s="17"/>
      <c r="V3672" s="17"/>
      <c r="W3672" s="17"/>
      <c r="X3672" s="17"/>
      <c r="Y3672" s="17"/>
      <c r="Z3672" s="17"/>
      <c r="AA3672" s="17"/>
      <c r="AB3672" s="17"/>
      <c r="AC3672" s="17"/>
      <c r="AD3672" s="17"/>
    </row>
    <row r="3673" spans="1:30" s="16" customFormat="1" ht="18" customHeight="1">
      <c r="A3673" s="553"/>
      <c r="B3673" s="569" t="s">
        <v>1281</v>
      </c>
      <c r="C3673" s="284"/>
      <c r="D3673" s="284"/>
      <c r="E3673" s="284"/>
      <c r="F3673" s="337"/>
      <c r="G3673" s="416"/>
      <c r="H3673" s="417"/>
      <c r="I3673" s="416"/>
      <c r="J3673" s="343"/>
      <c r="K3673" s="18"/>
      <c r="L3673" s="18"/>
      <c r="M3673" s="18"/>
      <c r="N3673" s="17"/>
      <c r="O3673" s="17"/>
      <c r="P3673" s="17"/>
      <c r="Q3673" s="17"/>
      <c r="R3673" s="17"/>
      <c r="S3673" s="17"/>
      <c r="T3673" s="17"/>
      <c r="U3673" s="17"/>
      <c r="V3673" s="17"/>
      <c r="W3673" s="17"/>
      <c r="X3673" s="17"/>
      <c r="Y3673" s="17"/>
      <c r="Z3673" s="17"/>
      <c r="AA3673" s="17"/>
      <c r="AB3673" s="17"/>
      <c r="AC3673" s="17"/>
      <c r="AD3673" s="17"/>
    </row>
    <row r="3674" spans="1:30" s="16" customFormat="1" ht="18" customHeight="1">
      <c r="A3674" s="553"/>
      <c r="B3674" s="569" t="s">
        <v>1282</v>
      </c>
      <c r="C3674" s="284"/>
      <c r="D3674" s="284"/>
      <c r="E3674" s="284"/>
      <c r="F3674" s="337"/>
      <c r="G3674" s="416"/>
      <c r="H3674" s="417"/>
      <c r="I3674" s="416"/>
      <c r="J3674" s="343"/>
      <c r="K3674" s="18"/>
      <c r="L3674" s="18"/>
      <c r="M3674" s="18"/>
      <c r="N3674" s="17"/>
      <c r="O3674" s="17"/>
      <c r="P3674" s="17"/>
      <c r="Q3674" s="17"/>
      <c r="R3674" s="17"/>
      <c r="S3674" s="17"/>
      <c r="T3674" s="17"/>
      <c r="U3674" s="17"/>
      <c r="V3674" s="17"/>
      <c r="W3674" s="17"/>
      <c r="X3674" s="17"/>
      <c r="Y3674" s="17"/>
      <c r="Z3674" s="17"/>
      <c r="AA3674" s="17"/>
      <c r="AB3674" s="17"/>
      <c r="AC3674" s="17"/>
      <c r="AD3674" s="17"/>
    </row>
    <row r="3675" spans="1:30" s="16" customFormat="1" ht="18" customHeight="1">
      <c r="A3675" s="553"/>
      <c r="B3675" s="569" t="s">
        <v>1283</v>
      </c>
      <c r="C3675" s="284"/>
      <c r="D3675" s="284"/>
      <c r="E3675" s="284"/>
      <c r="F3675" s="337"/>
      <c r="G3675" s="416"/>
      <c r="H3675" s="417"/>
      <c r="I3675" s="416"/>
      <c r="J3675" s="343"/>
      <c r="K3675" s="18"/>
      <c r="L3675" s="18"/>
      <c r="M3675" s="18"/>
      <c r="N3675" s="17"/>
      <c r="O3675" s="17"/>
      <c r="P3675" s="17"/>
      <c r="Q3675" s="17"/>
      <c r="R3675" s="17"/>
      <c r="S3675" s="17"/>
      <c r="T3675" s="17"/>
      <c r="U3675" s="17"/>
      <c r="V3675" s="17"/>
      <c r="W3675" s="17"/>
      <c r="X3675" s="17"/>
      <c r="Y3675" s="17"/>
      <c r="Z3675" s="17"/>
      <c r="AA3675" s="17"/>
      <c r="AB3675" s="17"/>
      <c r="AC3675" s="17"/>
      <c r="AD3675" s="17"/>
    </row>
    <row r="3676" spans="1:30" s="16" customFormat="1" ht="18" customHeight="1">
      <c r="A3676" s="553"/>
      <c r="B3676" s="348" t="s">
        <v>1284</v>
      </c>
      <c r="C3676" s="284"/>
      <c r="D3676" s="284"/>
      <c r="E3676" s="284"/>
      <c r="F3676" s="337"/>
      <c r="G3676" s="416"/>
      <c r="H3676" s="417"/>
      <c r="I3676" s="416"/>
      <c r="J3676" s="343"/>
      <c r="K3676" s="18"/>
      <c r="L3676" s="18"/>
      <c r="M3676" s="18"/>
      <c r="N3676" s="17"/>
      <c r="O3676" s="17"/>
      <c r="P3676" s="17"/>
      <c r="Q3676" s="17"/>
      <c r="R3676" s="17"/>
      <c r="S3676" s="17"/>
      <c r="T3676" s="17"/>
      <c r="U3676" s="17"/>
      <c r="V3676" s="17"/>
      <c r="W3676" s="17"/>
      <c r="X3676" s="17"/>
      <c r="Y3676" s="17"/>
      <c r="Z3676" s="17"/>
      <c r="AA3676" s="17"/>
      <c r="AB3676" s="17"/>
      <c r="AC3676" s="17"/>
      <c r="AD3676" s="17"/>
    </row>
    <row r="3677" spans="1:30" s="16" customFormat="1" ht="18" customHeight="1">
      <c r="A3677" s="553"/>
      <c r="B3677" s="350" t="s">
        <v>1285</v>
      </c>
      <c r="C3677" s="284"/>
      <c r="D3677" s="284"/>
      <c r="E3677" s="284"/>
      <c r="F3677" s="337"/>
      <c r="G3677" s="416"/>
      <c r="H3677" s="417"/>
      <c r="I3677" s="416"/>
      <c r="J3677" s="343"/>
      <c r="K3677" s="18"/>
      <c r="L3677" s="18"/>
      <c r="M3677" s="18"/>
      <c r="N3677" s="17"/>
      <c r="O3677" s="17"/>
      <c r="P3677" s="17"/>
      <c r="Q3677" s="17"/>
      <c r="R3677" s="17"/>
      <c r="S3677" s="17"/>
      <c r="T3677" s="17"/>
      <c r="U3677" s="17"/>
      <c r="V3677" s="17"/>
      <c r="W3677" s="17"/>
      <c r="X3677" s="17"/>
      <c r="Y3677" s="17"/>
      <c r="Z3677" s="17"/>
      <c r="AA3677" s="17"/>
      <c r="AB3677" s="17"/>
      <c r="AC3677" s="17"/>
      <c r="AD3677" s="17"/>
    </row>
    <row r="3678" spans="1:30" s="16" customFormat="1" ht="18" customHeight="1">
      <c r="A3678" s="553"/>
      <c r="B3678" s="351" t="s">
        <v>1277</v>
      </c>
      <c r="C3678" s="284"/>
      <c r="D3678" s="284"/>
      <c r="E3678" s="284"/>
      <c r="F3678" s="337"/>
      <c r="G3678" s="416"/>
      <c r="H3678" s="417"/>
      <c r="I3678" s="416"/>
      <c r="J3678" s="343"/>
      <c r="K3678" s="18"/>
      <c r="L3678" s="18"/>
      <c r="M3678" s="18"/>
      <c r="N3678" s="17"/>
      <c r="O3678" s="17"/>
      <c r="P3678" s="17"/>
      <c r="Q3678" s="17"/>
      <c r="R3678" s="17"/>
      <c r="S3678" s="17"/>
      <c r="T3678" s="17"/>
      <c r="U3678" s="17"/>
      <c r="V3678" s="17"/>
      <c r="W3678" s="17"/>
      <c r="X3678" s="17"/>
      <c r="Y3678" s="17"/>
      <c r="Z3678" s="17"/>
      <c r="AA3678" s="17"/>
      <c r="AB3678" s="17"/>
      <c r="AC3678" s="17"/>
      <c r="AD3678" s="17"/>
    </row>
    <row r="3679" spans="1:30" s="16" customFormat="1" ht="18" customHeight="1">
      <c r="A3679" s="553"/>
      <c r="B3679" s="352" t="s">
        <v>1286</v>
      </c>
      <c r="C3679" s="284"/>
      <c r="D3679" s="284"/>
      <c r="E3679" s="284"/>
      <c r="F3679" s="337"/>
      <c r="G3679" s="416"/>
      <c r="H3679" s="417"/>
      <c r="I3679" s="416"/>
      <c r="J3679" s="343"/>
      <c r="K3679" s="18"/>
      <c r="L3679" s="18"/>
      <c r="M3679" s="18"/>
      <c r="N3679" s="17"/>
      <c r="O3679" s="17"/>
      <c r="P3679" s="17"/>
      <c r="Q3679" s="17"/>
      <c r="R3679" s="17"/>
      <c r="S3679" s="17"/>
      <c r="T3679" s="17"/>
      <c r="U3679" s="17"/>
      <c r="V3679" s="17"/>
      <c r="W3679" s="17"/>
      <c r="X3679" s="17"/>
      <c r="Y3679" s="17"/>
      <c r="Z3679" s="17"/>
      <c r="AA3679" s="17"/>
      <c r="AB3679" s="17"/>
      <c r="AC3679" s="17"/>
      <c r="AD3679" s="17"/>
    </row>
    <row r="3680" spans="1:30" s="16" customFormat="1" ht="18" customHeight="1">
      <c r="A3680" s="553"/>
      <c r="B3680" s="570" t="s">
        <v>1287</v>
      </c>
      <c r="C3680" s="284"/>
      <c r="D3680" s="284"/>
      <c r="E3680" s="284"/>
      <c r="F3680" s="337"/>
      <c r="G3680" s="416"/>
      <c r="H3680" s="417"/>
      <c r="I3680" s="416"/>
      <c r="J3680" s="343"/>
      <c r="K3680" s="18"/>
      <c r="L3680" s="18"/>
      <c r="M3680" s="18"/>
      <c r="N3680" s="17"/>
      <c r="O3680" s="17"/>
      <c r="P3680" s="17"/>
      <c r="Q3680" s="17"/>
      <c r="R3680" s="17"/>
      <c r="S3680" s="17"/>
      <c r="T3680" s="17"/>
      <c r="U3680" s="17"/>
      <c r="V3680" s="17"/>
      <c r="W3680" s="17"/>
      <c r="X3680" s="17"/>
      <c r="Y3680" s="17"/>
      <c r="Z3680" s="17"/>
      <c r="AA3680" s="17"/>
      <c r="AB3680" s="17"/>
      <c r="AC3680" s="17"/>
      <c r="AD3680" s="17"/>
    </row>
    <row r="3681" spans="1:30" s="16" customFormat="1" ht="18" customHeight="1">
      <c r="A3681" s="553"/>
      <c r="B3681" s="571" t="s">
        <v>1288</v>
      </c>
      <c r="C3681" s="284"/>
      <c r="D3681" s="284"/>
      <c r="E3681" s="284"/>
      <c r="F3681" s="337"/>
      <c r="G3681" s="416"/>
      <c r="H3681" s="417"/>
      <c r="I3681" s="416"/>
      <c r="J3681" s="343"/>
      <c r="K3681" s="18"/>
      <c r="L3681" s="18"/>
      <c r="M3681" s="18"/>
      <c r="N3681" s="17"/>
      <c r="O3681" s="17"/>
      <c r="P3681" s="17"/>
      <c r="Q3681" s="17"/>
      <c r="R3681" s="17"/>
      <c r="S3681" s="17"/>
      <c r="T3681" s="17"/>
      <c r="U3681" s="17"/>
      <c r="V3681" s="17"/>
      <c r="W3681" s="17"/>
      <c r="X3681" s="17"/>
      <c r="Y3681" s="17"/>
      <c r="Z3681" s="17"/>
      <c r="AA3681" s="17"/>
      <c r="AB3681" s="17"/>
      <c r="AC3681" s="17"/>
      <c r="AD3681" s="17"/>
    </row>
    <row r="3682" spans="1:30" s="16" customFormat="1" ht="18" customHeight="1">
      <c r="A3682" s="553"/>
      <c r="B3682" s="348" t="s">
        <v>1289</v>
      </c>
      <c r="C3682" s="284"/>
      <c r="D3682" s="284"/>
      <c r="E3682" s="284"/>
      <c r="F3682" s="337"/>
      <c r="G3682" s="416"/>
      <c r="H3682" s="417"/>
      <c r="I3682" s="416"/>
      <c r="J3682" s="343"/>
      <c r="K3682" s="18"/>
      <c r="L3682" s="18"/>
      <c r="M3682" s="18"/>
      <c r="N3682" s="17"/>
      <c r="O3682" s="17"/>
      <c r="P3682" s="17"/>
      <c r="Q3682" s="17"/>
      <c r="R3682" s="17"/>
      <c r="S3682" s="17"/>
      <c r="T3682" s="17"/>
      <c r="U3682" s="17"/>
      <c r="V3682" s="17"/>
      <c r="W3682" s="17"/>
      <c r="X3682" s="17"/>
      <c r="Y3682" s="17"/>
      <c r="Z3682" s="17"/>
      <c r="AA3682" s="17"/>
      <c r="AB3682" s="17"/>
      <c r="AC3682" s="17"/>
      <c r="AD3682" s="17"/>
    </row>
    <row r="3683" spans="1:30" s="16" customFormat="1" ht="44.25" customHeight="1">
      <c r="A3683" s="553"/>
      <c r="B3683" s="349" t="s">
        <v>1290</v>
      </c>
      <c r="C3683" s="284"/>
      <c r="D3683" s="284"/>
      <c r="E3683" s="284"/>
      <c r="F3683" s="337"/>
      <c r="G3683" s="416"/>
      <c r="H3683" s="417"/>
      <c r="I3683" s="416"/>
      <c r="J3683" s="343"/>
      <c r="K3683" s="18"/>
      <c r="L3683" s="18"/>
      <c r="M3683" s="18"/>
      <c r="N3683" s="17"/>
      <c r="O3683" s="17"/>
      <c r="P3683" s="17"/>
      <c r="Q3683" s="17"/>
      <c r="R3683" s="17"/>
      <c r="S3683" s="17"/>
      <c r="T3683" s="17"/>
      <c r="U3683" s="17"/>
      <c r="V3683" s="17"/>
      <c r="W3683" s="17"/>
      <c r="X3683" s="17"/>
      <c r="Y3683" s="17"/>
      <c r="Z3683" s="17"/>
      <c r="AA3683" s="17"/>
      <c r="AB3683" s="17"/>
      <c r="AC3683" s="17"/>
      <c r="AD3683" s="17"/>
    </row>
    <row r="3684" spans="1:30" s="16" customFormat="1" ht="44.25" customHeight="1">
      <c r="A3684" s="553"/>
      <c r="B3684" s="349" t="s">
        <v>1291</v>
      </c>
      <c r="C3684" s="284"/>
      <c r="D3684" s="284"/>
      <c r="E3684" s="284"/>
      <c r="F3684" s="337"/>
      <c r="G3684" s="416"/>
      <c r="H3684" s="417"/>
      <c r="I3684" s="416"/>
      <c r="J3684" s="343"/>
      <c r="K3684" s="18"/>
      <c r="L3684" s="18"/>
      <c r="M3684" s="18"/>
      <c r="N3684" s="17"/>
      <c r="O3684" s="17"/>
      <c r="P3684" s="17"/>
      <c r="Q3684" s="17"/>
      <c r="R3684" s="17"/>
      <c r="S3684" s="17"/>
      <c r="T3684" s="17"/>
      <c r="U3684" s="17"/>
      <c r="V3684" s="17"/>
      <c r="W3684" s="17"/>
      <c r="X3684" s="17"/>
      <c r="Y3684" s="17"/>
      <c r="Z3684" s="17"/>
      <c r="AA3684" s="17"/>
      <c r="AB3684" s="17"/>
      <c r="AC3684" s="17"/>
      <c r="AD3684" s="17"/>
    </row>
    <row r="3685" spans="1:30" s="16" customFormat="1" ht="44.25" customHeight="1">
      <c r="A3685" s="553"/>
      <c r="B3685" s="349" t="s">
        <v>1292</v>
      </c>
      <c r="C3685" s="284"/>
      <c r="D3685" s="284"/>
      <c r="E3685" s="284"/>
      <c r="F3685" s="337"/>
      <c r="G3685" s="416"/>
      <c r="H3685" s="417"/>
      <c r="I3685" s="416"/>
      <c r="J3685" s="343"/>
      <c r="K3685" s="18"/>
      <c r="L3685" s="18"/>
      <c r="M3685" s="18"/>
      <c r="N3685" s="17"/>
      <c r="O3685" s="17"/>
      <c r="P3685" s="17"/>
      <c r="Q3685" s="17"/>
      <c r="R3685" s="17"/>
      <c r="S3685" s="17"/>
      <c r="T3685" s="17"/>
      <c r="U3685" s="17"/>
      <c r="V3685" s="17"/>
      <c r="W3685" s="17"/>
      <c r="X3685" s="17"/>
      <c r="Y3685" s="17"/>
      <c r="Z3685" s="17"/>
      <c r="AA3685" s="17"/>
      <c r="AB3685" s="17"/>
      <c r="AC3685" s="17"/>
      <c r="AD3685" s="17"/>
    </row>
    <row r="3686" spans="1:30" s="16" customFormat="1" ht="44.25" customHeight="1">
      <c r="A3686" s="553"/>
      <c r="B3686" s="349" t="s">
        <v>1293</v>
      </c>
      <c r="C3686" s="284"/>
      <c r="D3686" s="284"/>
      <c r="E3686" s="284"/>
      <c r="F3686" s="337"/>
      <c r="G3686" s="416"/>
      <c r="H3686" s="417"/>
      <c r="I3686" s="416"/>
      <c r="J3686" s="343"/>
      <c r="K3686" s="18"/>
      <c r="L3686" s="18"/>
      <c r="M3686" s="18"/>
      <c r="N3686" s="17"/>
      <c r="O3686" s="17"/>
      <c r="P3686" s="17"/>
      <c r="Q3686" s="17"/>
      <c r="R3686" s="17"/>
      <c r="S3686" s="17"/>
      <c r="T3686" s="17"/>
      <c r="U3686" s="17"/>
      <c r="V3686" s="17"/>
      <c r="W3686" s="17"/>
      <c r="X3686" s="17"/>
      <c r="Y3686" s="17"/>
      <c r="Z3686" s="17"/>
      <c r="AA3686" s="17"/>
      <c r="AB3686" s="17"/>
      <c r="AC3686" s="17"/>
      <c r="AD3686" s="17"/>
    </row>
    <row r="3687" spans="1:30" s="16" customFormat="1" ht="44.25" customHeight="1">
      <c r="A3687" s="553"/>
      <c r="B3687" s="349" t="s">
        <v>1294</v>
      </c>
      <c r="C3687" s="284"/>
      <c r="D3687" s="284"/>
      <c r="E3687" s="284"/>
      <c r="F3687" s="337"/>
      <c r="G3687" s="416"/>
      <c r="H3687" s="417"/>
      <c r="I3687" s="416"/>
      <c r="J3687" s="343"/>
      <c r="K3687" s="18"/>
      <c r="L3687" s="18"/>
      <c r="M3687" s="18"/>
      <c r="N3687" s="17"/>
      <c r="O3687" s="17"/>
      <c r="P3687" s="17"/>
      <c r="Q3687" s="17"/>
      <c r="R3687" s="17"/>
      <c r="S3687" s="17"/>
      <c r="T3687" s="17"/>
      <c r="U3687" s="17"/>
      <c r="V3687" s="17"/>
      <c r="W3687" s="17"/>
      <c r="X3687" s="17"/>
      <c r="Y3687" s="17"/>
      <c r="Z3687" s="17"/>
      <c r="AA3687" s="17"/>
      <c r="AB3687" s="17"/>
      <c r="AC3687" s="17"/>
      <c r="AD3687" s="17"/>
    </row>
    <row r="3688" spans="1:30" s="16" customFormat="1" ht="171" customHeight="1">
      <c r="A3688" s="553"/>
      <c r="B3688" s="572" t="s">
        <v>1295</v>
      </c>
      <c r="C3688" s="284"/>
      <c r="D3688" s="284"/>
      <c r="E3688" s="284"/>
      <c r="F3688" s="337"/>
      <c r="G3688" s="416"/>
      <c r="H3688" s="417"/>
      <c r="I3688" s="416"/>
      <c r="J3688" s="343"/>
      <c r="K3688" s="18"/>
      <c r="L3688" s="18"/>
      <c r="M3688" s="18"/>
      <c r="N3688" s="17"/>
      <c r="O3688" s="17"/>
      <c r="P3688" s="17"/>
      <c r="Q3688" s="17"/>
      <c r="R3688" s="17"/>
      <c r="S3688" s="17"/>
      <c r="T3688" s="17"/>
      <c r="U3688" s="17"/>
      <c r="V3688" s="17"/>
      <c r="W3688" s="17"/>
      <c r="X3688" s="17"/>
      <c r="Y3688" s="17"/>
      <c r="Z3688" s="17"/>
      <c r="AA3688" s="17"/>
      <c r="AB3688" s="17"/>
      <c r="AC3688" s="17"/>
      <c r="AD3688" s="17"/>
    </row>
    <row r="3689" spans="1:30" s="16" customFormat="1" ht="18" customHeight="1">
      <c r="A3689" s="553"/>
      <c r="B3689" s="557" t="s">
        <v>1584</v>
      </c>
      <c r="C3689" s="284">
        <v>1</v>
      </c>
      <c r="D3689" s="284">
        <v>1</v>
      </c>
      <c r="E3689" s="284">
        <v>1</v>
      </c>
      <c r="F3689" s="337">
        <v>1</v>
      </c>
      <c r="G3689" s="416"/>
      <c r="H3689" s="417"/>
      <c r="I3689" s="566">
        <f>PRODUCT(C3689:H3689)</f>
        <v>1</v>
      </c>
      <c r="J3689" s="343"/>
      <c r="K3689" s="18"/>
      <c r="L3689" s="18"/>
      <c r="M3689" s="18"/>
      <c r="N3689" s="17"/>
      <c r="O3689" s="17"/>
      <c r="P3689" s="17"/>
      <c r="Q3689" s="17"/>
      <c r="R3689" s="17"/>
      <c r="S3689" s="17"/>
      <c r="T3689" s="17"/>
      <c r="U3689" s="17"/>
      <c r="V3689" s="17"/>
      <c r="W3689" s="17"/>
      <c r="X3689" s="17"/>
      <c r="Y3689" s="17"/>
      <c r="Z3689" s="17"/>
      <c r="AA3689" s="17"/>
      <c r="AB3689" s="17"/>
      <c r="AC3689" s="17"/>
      <c r="AD3689" s="17"/>
    </row>
    <row r="3690" spans="1:30" s="16" customFormat="1" ht="18" customHeight="1">
      <c r="A3690" s="553"/>
      <c r="B3690" s="557"/>
      <c r="C3690" s="284"/>
      <c r="D3690" s="284"/>
      <c r="E3690" s="284"/>
      <c r="F3690" s="337"/>
      <c r="G3690" s="416"/>
      <c r="H3690" s="417"/>
      <c r="I3690" s="416"/>
      <c r="J3690" s="343"/>
      <c r="K3690" s="18"/>
      <c r="L3690" s="18"/>
      <c r="M3690" s="18"/>
      <c r="N3690" s="17"/>
      <c r="O3690" s="17"/>
      <c r="P3690" s="17"/>
      <c r="Q3690" s="17"/>
      <c r="R3690" s="17"/>
      <c r="S3690" s="17"/>
      <c r="T3690" s="17"/>
      <c r="U3690" s="17"/>
      <c r="V3690" s="17"/>
      <c r="W3690" s="17"/>
      <c r="X3690" s="17"/>
      <c r="Y3690" s="17"/>
      <c r="Z3690" s="17"/>
      <c r="AA3690" s="17"/>
      <c r="AB3690" s="17"/>
      <c r="AC3690" s="17"/>
      <c r="AD3690" s="17"/>
    </row>
    <row r="3691" spans="1:30" s="12" customFormat="1" ht="18.75" customHeight="1">
      <c r="A3691" s="573"/>
      <c r="B3691" s="574" t="s">
        <v>110</v>
      </c>
      <c r="C3691" s="575"/>
      <c r="D3691" s="575"/>
      <c r="E3691" s="575"/>
      <c r="F3691" s="575"/>
      <c r="G3691" s="575"/>
      <c r="H3691" s="575"/>
      <c r="I3691" s="576"/>
      <c r="J3691" s="575"/>
      <c r="K3691" s="15"/>
      <c r="L3691" s="15"/>
      <c r="M3691" s="15"/>
      <c r="N3691" s="14"/>
      <c r="O3691" s="13"/>
      <c r="P3691" s="13"/>
      <c r="Q3691" s="13"/>
      <c r="R3691" s="13"/>
      <c r="S3691" s="13"/>
      <c r="T3691" s="13"/>
      <c r="U3691" s="13"/>
      <c r="V3691" s="13"/>
      <c r="W3691" s="13"/>
      <c r="X3691" s="13"/>
      <c r="Y3691" s="13"/>
      <c r="Z3691" s="13"/>
      <c r="AA3691" s="13"/>
      <c r="AB3691" s="13"/>
      <c r="AC3691" s="13"/>
      <c r="AD3691" s="13"/>
    </row>
    <row r="3692" spans="1:30" s="12" customFormat="1" ht="22.5" customHeight="1">
      <c r="A3692" s="573"/>
      <c r="B3692" s="577" t="s">
        <v>109</v>
      </c>
      <c r="C3692" s="575"/>
      <c r="D3692" s="575"/>
      <c r="E3692" s="575"/>
      <c r="F3692" s="575"/>
      <c r="G3692" s="575"/>
      <c r="H3692" s="575"/>
      <c r="I3692" s="576"/>
      <c r="J3692" s="575"/>
      <c r="K3692" s="15"/>
      <c r="L3692" s="15"/>
      <c r="M3692" s="15"/>
      <c r="N3692" s="14"/>
      <c r="O3692" s="13"/>
      <c r="P3692" s="13"/>
      <c r="Q3692" s="13"/>
      <c r="R3692" s="13"/>
      <c r="S3692" s="13"/>
      <c r="T3692" s="13"/>
      <c r="U3692" s="13"/>
      <c r="V3692" s="13"/>
      <c r="W3692" s="13"/>
      <c r="X3692" s="13"/>
      <c r="Y3692" s="13"/>
      <c r="Z3692" s="13"/>
      <c r="AA3692" s="13"/>
      <c r="AB3692" s="13"/>
      <c r="AC3692" s="13"/>
      <c r="AD3692" s="13"/>
    </row>
    <row r="3693" spans="1:30" s="12" customFormat="1" ht="37.5" customHeight="1">
      <c r="A3693" s="573"/>
      <c r="B3693" s="577" t="s">
        <v>108</v>
      </c>
      <c r="C3693" s="575"/>
      <c r="D3693" s="575"/>
      <c r="E3693" s="575"/>
      <c r="F3693" s="575"/>
      <c r="G3693" s="575"/>
      <c r="H3693" s="575"/>
      <c r="I3693" s="576"/>
      <c r="J3693" s="575"/>
      <c r="K3693" s="15"/>
      <c r="L3693" s="15"/>
      <c r="M3693" s="15"/>
      <c r="N3693" s="14"/>
      <c r="O3693" s="13"/>
      <c r="P3693" s="13"/>
      <c r="Q3693" s="13"/>
      <c r="R3693" s="13"/>
      <c r="S3693" s="13"/>
      <c r="T3693" s="13"/>
      <c r="U3693" s="13"/>
      <c r="V3693" s="13"/>
      <c r="W3693" s="13"/>
      <c r="X3693" s="13"/>
      <c r="Y3693" s="13"/>
      <c r="Z3693" s="13"/>
      <c r="AA3693" s="13"/>
      <c r="AB3693" s="13"/>
      <c r="AC3693" s="13"/>
      <c r="AD3693" s="13"/>
    </row>
    <row r="3694" spans="1:30" s="12" customFormat="1" ht="23.25" customHeight="1">
      <c r="A3694" s="573"/>
      <c r="B3694" s="577" t="s">
        <v>107</v>
      </c>
      <c r="C3694" s="575"/>
      <c r="D3694" s="575"/>
      <c r="E3694" s="575"/>
      <c r="F3694" s="575"/>
      <c r="G3694" s="575"/>
      <c r="H3694" s="575"/>
      <c r="I3694" s="576"/>
      <c r="J3694" s="575"/>
      <c r="K3694" s="15"/>
      <c r="L3694" s="15"/>
      <c r="M3694" s="15"/>
      <c r="N3694" s="14"/>
      <c r="O3694" s="13"/>
      <c r="P3694" s="13"/>
      <c r="Q3694" s="13"/>
      <c r="R3694" s="13"/>
      <c r="S3694" s="13"/>
      <c r="T3694" s="13"/>
      <c r="U3694" s="13"/>
      <c r="V3694" s="13"/>
      <c r="W3694" s="13"/>
      <c r="X3694" s="13"/>
      <c r="Y3694" s="13"/>
      <c r="Z3694" s="13"/>
      <c r="AA3694" s="13"/>
      <c r="AB3694" s="13"/>
      <c r="AC3694" s="13"/>
      <c r="AD3694" s="13"/>
    </row>
    <row r="3695" spans="1:30" s="2" customFormat="1">
      <c r="A3695" s="578"/>
      <c r="B3695" s="578"/>
      <c r="C3695" s="578"/>
      <c r="D3695" s="578"/>
      <c r="E3695" s="578"/>
      <c r="F3695" s="579"/>
      <c r="G3695" s="579"/>
      <c r="H3695" s="579"/>
      <c r="I3695" s="580"/>
      <c r="J3695" s="581"/>
      <c r="K3695" s="9"/>
      <c r="L3695" s="9"/>
      <c r="M3695" s="9"/>
      <c r="N3695" s="9"/>
      <c r="O3695" s="9"/>
      <c r="P3695" s="9"/>
      <c r="Q3695" s="9"/>
      <c r="R3695" s="9"/>
      <c r="S3695" s="9"/>
      <c r="T3695" s="9"/>
      <c r="U3695" s="9"/>
      <c r="V3695" s="9"/>
      <c r="W3695" s="9"/>
      <c r="X3695" s="9"/>
      <c r="Y3695" s="9"/>
      <c r="Z3695" s="9"/>
      <c r="AA3695" s="9"/>
      <c r="AB3695" s="9"/>
      <c r="AC3695" s="9"/>
      <c r="AD3695" s="9"/>
    </row>
    <row r="3696" spans="1:30" s="2" customFormat="1">
      <c r="A3696" s="578"/>
      <c r="B3696" s="578"/>
      <c r="C3696" s="578"/>
      <c r="D3696" s="578"/>
      <c r="E3696" s="578"/>
      <c r="F3696" s="579"/>
      <c r="G3696" s="579"/>
      <c r="H3696" s="579"/>
      <c r="I3696" s="580"/>
      <c r="J3696" s="581"/>
      <c r="K3696" s="9"/>
      <c r="L3696" s="9"/>
      <c r="M3696" s="9"/>
      <c r="N3696" s="9"/>
      <c r="O3696" s="9"/>
      <c r="P3696" s="9"/>
      <c r="Q3696" s="9"/>
      <c r="R3696" s="9"/>
      <c r="S3696" s="9"/>
      <c r="T3696" s="9"/>
      <c r="U3696" s="9"/>
      <c r="V3696" s="9"/>
      <c r="W3696" s="9"/>
      <c r="X3696" s="9"/>
      <c r="Y3696" s="9"/>
      <c r="Z3696" s="9"/>
      <c r="AA3696" s="9"/>
      <c r="AB3696" s="9"/>
      <c r="AC3696" s="9"/>
      <c r="AD3696" s="9"/>
    </row>
    <row r="3697" spans="1:30" s="2" customFormat="1">
      <c r="A3697" s="578"/>
      <c r="B3697" s="578"/>
      <c r="C3697" s="578"/>
      <c r="D3697" s="578"/>
      <c r="E3697" s="578"/>
      <c r="F3697" s="579"/>
      <c r="G3697" s="579"/>
      <c r="H3697" s="579"/>
      <c r="I3697" s="580"/>
      <c r="J3697" s="581"/>
      <c r="K3697" s="9"/>
      <c r="L3697" s="9"/>
      <c r="M3697" s="9"/>
      <c r="N3697" s="9"/>
      <c r="O3697" s="9"/>
      <c r="P3697" s="9"/>
      <c r="Q3697" s="9"/>
      <c r="R3697" s="9"/>
      <c r="S3697" s="9"/>
      <c r="T3697" s="9"/>
      <c r="U3697" s="9"/>
      <c r="V3697" s="9"/>
      <c r="W3697" s="9"/>
      <c r="X3697" s="9"/>
      <c r="Y3697" s="9"/>
      <c r="Z3697" s="9"/>
      <c r="AA3697" s="9"/>
      <c r="AB3697" s="9"/>
      <c r="AC3697" s="9"/>
      <c r="AD3697" s="9"/>
    </row>
    <row r="3698" spans="1:30" s="2" customFormat="1">
      <c r="A3698" s="578"/>
      <c r="B3698" s="578"/>
      <c r="C3698" s="578"/>
      <c r="D3698" s="578"/>
      <c r="E3698" s="578"/>
      <c r="F3698" s="579"/>
      <c r="G3698" s="579"/>
      <c r="H3698" s="579"/>
      <c r="I3698" s="580"/>
      <c r="J3698" s="581"/>
      <c r="K3698" s="9"/>
      <c r="L3698" s="9"/>
      <c r="M3698" s="9"/>
      <c r="N3698" s="9"/>
      <c r="O3698" s="9"/>
      <c r="P3698" s="9"/>
      <c r="Q3698" s="9"/>
      <c r="R3698" s="9"/>
      <c r="S3698" s="9"/>
      <c r="T3698" s="9"/>
      <c r="U3698" s="9"/>
      <c r="V3698" s="9"/>
      <c r="W3698" s="9"/>
      <c r="X3698" s="9"/>
      <c r="Y3698" s="9"/>
      <c r="Z3698" s="9"/>
      <c r="AA3698" s="9"/>
      <c r="AB3698" s="9"/>
      <c r="AC3698" s="9"/>
      <c r="AD3698" s="9"/>
    </row>
    <row r="3699" spans="1:30" s="2" customFormat="1">
      <c r="A3699" s="578"/>
      <c r="B3699" s="578"/>
      <c r="C3699" s="578"/>
      <c r="D3699" s="578"/>
      <c r="E3699" s="578"/>
      <c r="F3699" s="579"/>
      <c r="G3699" s="579"/>
      <c r="H3699" s="579"/>
      <c r="I3699" s="580"/>
      <c r="J3699" s="581"/>
      <c r="K3699" s="9"/>
      <c r="L3699" s="9"/>
      <c r="M3699" s="9"/>
      <c r="N3699" s="9"/>
      <c r="O3699" s="9"/>
      <c r="P3699" s="9"/>
      <c r="Q3699" s="9"/>
      <c r="R3699" s="9"/>
      <c r="S3699" s="9"/>
      <c r="T3699" s="9"/>
      <c r="U3699" s="9"/>
      <c r="V3699" s="9"/>
      <c r="W3699" s="9"/>
      <c r="X3699" s="9"/>
      <c r="Y3699" s="9"/>
      <c r="Z3699" s="9"/>
      <c r="AA3699" s="9"/>
      <c r="AB3699" s="9"/>
      <c r="AC3699" s="9"/>
      <c r="AD3699" s="9"/>
    </row>
    <row r="3700" spans="1:30" s="2" customFormat="1">
      <c r="A3700" s="578"/>
      <c r="B3700" s="582" t="s">
        <v>1261</v>
      </c>
      <c r="C3700" s="582" t="s">
        <v>1260</v>
      </c>
      <c r="D3700" s="582"/>
      <c r="E3700" s="582"/>
      <c r="F3700" s="583"/>
      <c r="G3700" s="601" t="s">
        <v>106</v>
      </c>
      <c r="H3700" s="601"/>
      <c r="I3700" s="601"/>
      <c r="J3700" s="601"/>
      <c r="K3700" s="10"/>
      <c r="L3700" s="10"/>
      <c r="M3700" s="10"/>
      <c r="N3700" s="9"/>
      <c r="O3700" s="9"/>
      <c r="P3700" s="9"/>
      <c r="Q3700" s="9"/>
      <c r="R3700" s="9"/>
      <c r="S3700" s="9"/>
      <c r="T3700" s="9"/>
      <c r="U3700" s="9"/>
      <c r="V3700" s="9"/>
      <c r="W3700" s="9"/>
      <c r="X3700" s="9"/>
      <c r="Y3700" s="9"/>
      <c r="Z3700" s="9"/>
      <c r="AA3700" s="9"/>
      <c r="AB3700" s="9"/>
      <c r="AC3700" s="9"/>
      <c r="AD3700" s="9"/>
    </row>
    <row r="3701" spans="1:30" s="2" customFormat="1">
      <c r="A3701" s="578"/>
      <c r="B3701" s="583"/>
      <c r="C3701" s="583"/>
      <c r="D3701" s="583"/>
      <c r="E3701" s="583"/>
      <c r="F3701" s="583"/>
      <c r="G3701" s="601" t="s">
        <v>1259</v>
      </c>
      <c r="H3701" s="601"/>
      <c r="I3701" s="601"/>
      <c r="J3701" s="601"/>
      <c r="K3701" s="10"/>
      <c r="L3701" s="10"/>
      <c r="M3701" s="10"/>
      <c r="N3701" s="9"/>
      <c r="O3701" s="9"/>
      <c r="P3701" s="9"/>
      <c r="Q3701" s="9"/>
      <c r="R3701" s="9"/>
      <c r="S3701" s="9"/>
      <c r="T3701" s="9"/>
      <c r="U3701" s="9"/>
      <c r="V3701" s="9"/>
      <c r="W3701" s="9"/>
      <c r="X3701" s="9"/>
      <c r="Y3701" s="9"/>
      <c r="Z3701" s="9"/>
      <c r="AA3701" s="9"/>
      <c r="AB3701" s="9"/>
      <c r="AC3701" s="9"/>
      <c r="AD3701" s="9"/>
    </row>
    <row r="3702" spans="1:30" s="2" customFormat="1">
      <c r="A3702" s="578"/>
      <c r="B3702" s="578"/>
      <c r="C3702" s="578"/>
      <c r="D3702" s="578"/>
      <c r="E3702" s="578"/>
      <c r="F3702" s="579"/>
      <c r="G3702" s="579"/>
      <c r="H3702" s="579"/>
      <c r="I3702" s="580"/>
      <c r="J3702" s="581"/>
      <c r="K3702" s="9"/>
      <c r="L3702" s="9"/>
      <c r="M3702" s="9"/>
      <c r="N3702" s="9"/>
      <c r="O3702" s="9"/>
      <c r="P3702" s="9"/>
      <c r="Q3702" s="9"/>
      <c r="R3702" s="9"/>
      <c r="S3702" s="9"/>
      <c r="T3702" s="9"/>
      <c r="U3702" s="9"/>
      <c r="V3702" s="9"/>
      <c r="W3702" s="9"/>
      <c r="X3702" s="9"/>
      <c r="Y3702" s="9"/>
      <c r="Z3702" s="9"/>
      <c r="AA3702" s="9"/>
      <c r="AB3702" s="9"/>
      <c r="AC3702" s="9"/>
      <c r="AD3702" s="9"/>
    </row>
    <row r="3703" spans="1:30" s="2" customFormat="1">
      <c r="A3703" s="578"/>
      <c r="B3703" s="578"/>
      <c r="C3703" s="578"/>
      <c r="D3703" s="578"/>
      <c r="E3703" s="578"/>
      <c r="F3703" s="579"/>
      <c r="G3703" s="579"/>
      <c r="H3703" s="579"/>
      <c r="I3703" s="580"/>
      <c r="J3703" s="581"/>
      <c r="K3703" s="9"/>
      <c r="L3703" s="9"/>
      <c r="M3703" s="9"/>
      <c r="N3703" s="9"/>
      <c r="O3703" s="9"/>
      <c r="P3703" s="9"/>
      <c r="Q3703" s="9"/>
      <c r="R3703" s="9"/>
      <c r="S3703" s="9"/>
      <c r="T3703" s="9"/>
      <c r="U3703" s="9"/>
      <c r="V3703" s="9"/>
      <c r="W3703" s="9"/>
      <c r="X3703" s="9"/>
      <c r="Y3703" s="9"/>
      <c r="Z3703" s="9"/>
      <c r="AA3703" s="9"/>
      <c r="AB3703" s="9"/>
      <c r="AC3703" s="9"/>
      <c r="AD3703" s="9"/>
    </row>
    <row r="3704" spans="1:30" s="2" customFormat="1">
      <c r="A3704" s="578"/>
      <c r="B3704" s="578"/>
      <c r="C3704" s="578"/>
      <c r="D3704" s="578"/>
      <c r="E3704" s="578"/>
      <c r="F3704" s="579"/>
      <c r="G3704" s="579"/>
      <c r="H3704" s="579"/>
      <c r="I3704" s="580"/>
      <c r="J3704" s="581"/>
      <c r="K3704" s="9"/>
      <c r="L3704" s="9"/>
      <c r="M3704" s="9"/>
      <c r="N3704" s="9"/>
      <c r="O3704" s="9"/>
      <c r="P3704" s="9"/>
      <c r="Q3704" s="9"/>
      <c r="R3704" s="9"/>
      <c r="S3704" s="9"/>
      <c r="T3704" s="9"/>
      <c r="U3704" s="9"/>
      <c r="V3704" s="9"/>
      <c r="W3704" s="9"/>
      <c r="X3704" s="9"/>
      <c r="Y3704" s="9"/>
      <c r="Z3704" s="9"/>
      <c r="AA3704" s="9"/>
      <c r="AB3704" s="9"/>
      <c r="AC3704" s="9"/>
      <c r="AD3704" s="9"/>
    </row>
    <row r="3705" spans="1:30" s="2" customFormat="1">
      <c r="A3705" s="578"/>
      <c r="B3705" s="578"/>
      <c r="C3705" s="578"/>
      <c r="D3705" s="578"/>
      <c r="E3705" s="578"/>
      <c r="F3705" s="579"/>
      <c r="G3705" s="579"/>
      <c r="H3705" s="579"/>
      <c r="I3705" s="580"/>
      <c r="J3705" s="581"/>
      <c r="K3705" s="9"/>
      <c r="L3705" s="9"/>
      <c r="M3705" s="9"/>
      <c r="N3705" s="9"/>
      <c r="O3705" s="9"/>
      <c r="P3705" s="9"/>
      <c r="Q3705" s="9"/>
      <c r="R3705" s="9"/>
      <c r="S3705" s="9"/>
      <c r="T3705" s="9"/>
      <c r="U3705" s="9"/>
      <c r="V3705" s="9"/>
      <c r="W3705" s="9"/>
      <c r="X3705" s="9"/>
      <c r="Y3705" s="9"/>
      <c r="Z3705" s="9"/>
      <c r="AA3705" s="9"/>
      <c r="AB3705" s="9"/>
      <c r="AC3705" s="9"/>
      <c r="AD3705" s="9"/>
    </row>
    <row r="3706" spans="1:30" s="2" customFormat="1">
      <c r="A3706" s="578"/>
      <c r="B3706" s="578"/>
      <c r="C3706" s="578"/>
      <c r="D3706" s="578"/>
      <c r="E3706" s="578"/>
      <c r="F3706" s="579"/>
      <c r="G3706" s="579"/>
      <c r="H3706" s="579"/>
      <c r="I3706" s="580"/>
      <c r="J3706" s="581"/>
      <c r="K3706" s="9"/>
      <c r="L3706" s="9"/>
      <c r="M3706" s="9"/>
      <c r="N3706" s="9"/>
      <c r="O3706" s="9"/>
      <c r="P3706" s="9"/>
      <c r="Q3706" s="9"/>
      <c r="R3706" s="9"/>
      <c r="S3706" s="9"/>
      <c r="T3706" s="9"/>
      <c r="U3706" s="9"/>
      <c r="V3706" s="9"/>
      <c r="W3706" s="9"/>
      <c r="X3706" s="9"/>
      <c r="Y3706" s="9"/>
      <c r="Z3706" s="9"/>
      <c r="AA3706" s="9"/>
      <c r="AB3706" s="9"/>
      <c r="AC3706" s="9"/>
      <c r="AD3706" s="9"/>
    </row>
    <row r="3707" spans="1:30" s="2" customFormat="1">
      <c r="A3707" s="578"/>
      <c r="B3707" s="578"/>
      <c r="C3707" s="578"/>
      <c r="D3707" s="578"/>
      <c r="E3707" s="578"/>
      <c r="F3707" s="579"/>
      <c r="G3707" s="579"/>
      <c r="H3707" s="579"/>
      <c r="I3707" s="580"/>
      <c r="J3707" s="581"/>
      <c r="K3707" s="9"/>
      <c r="L3707" s="9"/>
      <c r="M3707" s="9"/>
      <c r="N3707" s="9"/>
      <c r="O3707" s="9"/>
      <c r="P3707" s="9"/>
      <c r="Q3707" s="9"/>
      <c r="R3707" s="9"/>
      <c r="S3707" s="9"/>
      <c r="T3707" s="9"/>
      <c r="U3707" s="9"/>
      <c r="V3707" s="9"/>
      <c r="W3707" s="9"/>
      <c r="X3707" s="9"/>
      <c r="Y3707" s="9"/>
      <c r="Z3707" s="9"/>
      <c r="AA3707" s="9"/>
      <c r="AB3707" s="9"/>
      <c r="AC3707" s="9"/>
      <c r="AD3707" s="9"/>
    </row>
    <row r="3708" spans="1:30" s="2" customFormat="1">
      <c r="A3708" s="578"/>
      <c r="B3708" s="578"/>
      <c r="C3708" s="578"/>
      <c r="D3708" s="578"/>
      <c r="E3708" s="578"/>
      <c r="F3708" s="579"/>
      <c r="G3708" s="579"/>
      <c r="H3708" s="579"/>
      <c r="I3708" s="580"/>
      <c r="J3708" s="581"/>
      <c r="K3708" s="9"/>
      <c r="L3708" s="9"/>
      <c r="M3708" s="9"/>
      <c r="N3708" s="9"/>
      <c r="O3708" s="9"/>
      <c r="P3708" s="9"/>
      <c r="Q3708" s="9"/>
      <c r="R3708" s="9"/>
      <c r="S3708" s="9"/>
      <c r="T3708" s="9"/>
      <c r="U3708" s="9"/>
      <c r="V3708" s="9"/>
      <c r="W3708" s="9"/>
      <c r="X3708" s="9"/>
      <c r="Y3708" s="9"/>
      <c r="Z3708" s="9"/>
      <c r="AA3708" s="9"/>
      <c r="AB3708" s="9"/>
      <c r="AC3708" s="9"/>
      <c r="AD3708" s="9"/>
    </row>
    <row r="3709" spans="1:30" s="2" customFormat="1">
      <c r="A3709" s="578"/>
      <c r="B3709" s="578"/>
      <c r="C3709" s="578"/>
      <c r="D3709" s="578"/>
      <c r="E3709" s="578"/>
      <c r="F3709" s="579"/>
      <c r="G3709" s="579"/>
      <c r="H3709" s="579"/>
      <c r="I3709" s="580"/>
      <c r="J3709" s="581"/>
      <c r="K3709" s="9"/>
      <c r="L3709" s="9"/>
      <c r="M3709" s="9"/>
      <c r="N3709" s="9"/>
      <c r="O3709" s="9"/>
      <c r="P3709" s="9"/>
      <c r="Q3709" s="9"/>
      <c r="R3709" s="9"/>
      <c r="S3709" s="9"/>
      <c r="T3709" s="9"/>
      <c r="U3709" s="9"/>
      <c r="V3709" s="9"/>
      <c r="W3709" s="9"/>
      <c r="X3709" s="9"/>
      <c r="Y3709" s="9"/>
      <c r="Z3709" s="9"/>
      <c r="AA3709" s="9"/>
      <c r="AB3709" s="9"/>
      <c r="AC3709" s="9"/>
      <c r="AD3709" s="9"/>
    </row>
    <row r="3710" spans="1:30" s="2" customFormat="1">
      <c r="A3710" s="578"/>
      <c r="B3710" s="578"/>
      <c r="C3710" s="578"/>
      <c r="D3710" s="578"/>
      <c r="E3710" s="578"/>
      <c r="F3710" s="579"/>
      <c r="G3710" s="579"/>
      <c r="H3710" s="579"/>
      <c r="I3710" s="580"/>
      <c r="J3710" s="581"/>
      <c r="K3710" s="9"/>
      <c r="L3710" s="9"/>
      <c r="M3710" s="9"/>
      <c r="N3710" s="9"/>
      <c r="O3710" s="9"/>
      <c r="P3710" s="9"/>
      <c r="Q3710" s="9"/>
      <c r="R3710" s="9"/>
      <c r="S3710" s="9"/>
      <c r="T3710" s="9"/>
      <c r="U3710" s="9"/>
      <c r="V3710" s="9"/>
      <c r="W3710" s="9"/>
      <c r="X3710" s="9"/>
      <c r="Y3710" s="9"/>
      <c r="Z3710" s="9"/>
      <c r="AA3710" s="9"/>
      <c r="AB3710" s="9"/>
      <c r="AC3710" s="9"/>
      <c r="AD3710" s="9"/>
    </row>
    <row r="3711" spans="1:30" s="2" customFormat="1">
      <c r="A3711" s="578"/>
      <c r="B3711" s="578"/>
      <c r="C3711" s="578"/>
      <c r="D3711" s="578"/>
      <c r="E3711" s="578"/>
      <c r="F3711" s="579"/>
      <c r="G3711" s="579"/>
      <c r="H3711" s="579"/>
      <c r="I3711" s="580"/>
      <c r="J3711" s="581"/>
      <c r="K3711" s="9"/>
      <c r="L3711" s="9"/>
      <c r="M3711" s="9"/>
      <c r="N3711" s="9"/>
      <c r="O3711" s="9"/>
      <c r="P3711" s="9"/>
      <c r="Q3711" s="9"/>
      <c r="R3711" s="9"/>
      <c r="S3711" s="9"/>
      <c r="T3711" s="9"/>
      <c r="U3711" s="9"/>
      <c r="V3711" s="9"/>
      <c r="W3711" s="9"/>
      <c r="X3711" s="9"/>
      <c r="Y3711" s="9"/>
      <c r="Z3711" s="9"/>
      <c r="AA3711" s="9"/>
      <c r="AB3711" s="9"/>
      <c r="AC3711" s="9"/>
      <c r="AD3711" s="9"/>
    </row>
    <row r="3712" spans="1:30" s="2" customFormat="1">
      <c r="A3712" s="578"/>
      <c r="B3712" s="578"/>
      <c r="C3712" s="578"/>
      <c r="D3712" s="578"/>
      <c r="E3712" s="578"/>
      <c r="F3712" s="579"/>
      <c r="G3712" s="579"/>
      <c r="H3712" s="579"/>
      <c r="I3712" s="580"/>
      <c r="J3712" s="581"/>
      <c r="K3712" s="9"/>
      <c r="L3712" s="9"/>
      <c r="M3712" s="9"/>
      <c r="N3712" s="9"/>
      <c r="O3712" s="9"/>
      <c r="P3712" s="9"/>
      <c r="Q3712" s="9"/>
      <c r="R3712" s="9"/>
      <c r="S3712" s="9"/>
      <c r="T3712" s="9"/>
      <c r="U3712" s="9"/>
      <c r="V3712" s="9"/>
      <c r="W3712" s="9"/>
      <c r="X3712" s="9"/>
      <c r="Y3712" s="9"/>
      <c r="Z3712" s="9"/>
      <c r="AA3712" s="9"/>
      <c r="AB3712" s="9"/>
      <c r="AC3712" s="9"/>
      <c r="AD3712" s="9"/>
    </row>
    <row r="3713" spans="1:30" s="2" customFormat="1">
      <c r="A3713" s="578"/>
      <c r="B3713" s="578"/>
      <c r="C3713" s="578"/>
      <c r="D3713" s="578"/>
      <c r="E3713" s="578"/>
      <c r="F3713" s="579"/>
      <c r="G3713" s="579"/>
      <c r="H3713" s="579"/>
      <c r="I3713" s="580"/>
      <c r="J3713" s="581"/>
      <c r="K3713" s="9"/>
      <c r="L3713" s="9"/>
      <c r="M3713" s="9"/>
      <c r="N3713" s="9"/>
      <c r="O3713" s="9"/>
      <c r="P3713" s="9"/>
      <c r="Q3713" s="9"/>
      <c r="R3713" s="9"/>
      <c r="S3713" s="9"/>
      <c r="T3713" s="9"/>
      <c r="U3713" s="9"/>
      <c r="V3713" s="9"/>
      <c r="W3713" s="9"/>
      <c r="X3713" s="9"/>
      <c r="Y3713" s="9"/>
      <c r="Z3713" s="9"/>
      <c r="AA3713" s="9"/>
      <c r="AB3713" s="9"/>
      <c r="AC3713" s="9"/>
      <c r="AD3713" s="9"/>
    </row>
    <row r="3714" spans="1:30" s="2" customFormat="1">
      <c r="A3714" s="578"/>
      <c r="B3714" s="578"/>
      <c r="C3714" s="578"/>
      <c r="D3714" s="578"/>
      <c r="E3714" s="578"/>
      <c r="F3714" s="579"/>
      <c r="G3714" s="579"/>
      <c r="H3714" s="579"/>
      <c r="I3714" s="580"/>
      <c r="J3714" s="581"/>
      <c r="K3714" s="9"/>
      <c r="L3714" s="9"/>
      <c r="M3714" s="9"/>
      <c r="N3714" s="9"/>
      <c r="O3714" s="9"/>
      <c r="P3714" s="9"/>
      <c r="Q3714" s="9"/>
      <c r="R3714" s="9"/>
      <c r="S3714" s="9"/>
      <c r="T3714" s="9"/>
      <c r="U3714" s="9"/>
      <c r="V3714" s="9"/>
      <c r="W3714" s="9"/>
      <c r="X3714" s="9"/>
      <c r="Y3714" s="9"/>
      <c r="Z3714" s="9"/>
      <c r="AA3714" s="9"/>
      <c r="AB3714" s="9"/>
      <c r="AC3714" s="9"/>
      <c r="AD3714" s="9"/>
    </row>
    <row r="3715" spans="1:30" s="2" customFormat="1">
      <c r="A3715" s="578"/>
      <c r="B3715" s="578"/>
      <c r="C3715" s="578"/>
      <c r="D3715" s="578"/>
      <c r="E3715" s="578"/>
      <c r="F3715" s="579"/>
      <c r="G3715" s="579"/>
      <c r="H3715" s="579"/>
      <c r="I3715" s="580"/>
      <c r="J3715" s="581"/>
      <c r="K3715" s="9"/>
      <c r="L3715" s="9"/>
      <c r="M3715" s="9"/>
      <c r="N3715" s="9"/>
      <c r="O3715" s="9"/>
      <c r="P3715" s="9"/>
      <c r="Q3715" s="9"/>
      <c r="R3715" s="9"/>
      <c r="S3715" s="9"/>
      <c r="T3715" s="9"/>
      <c r="U3715" s="9"/>
      <c r="V3715" s="9"/>
      <c r="W3715" s="9"/>
      <c r="X3715" s="9"/>
      <c r="Y3715" s="9"/>
      <c r="Z3715" s="9"/>
      <c r="AA3715" s="9"/>
      <c r="AB3715" s="9"/>
      <c r="AC3715" s="9"/>
      <c r="AD3715" s="9"/>
    </row>
    <row r="3716" spans="1:30" s="2" customFormat="1">
      <c r="A3716" s="578"/>
      <c r="B3716" s="578"/>
      <c r="C3716" s="578"/>
      <c r="D3716" s="578"/>
      <c r="E3716" s="578"/>
      <c r="F3716" s="579"/>
      <c r="G3716" s="579"/>
      <c r="H3716" s="579"/>
      <c r="I3716" s="580"/>
      <c r="J3716" s="581"/>
      <c r="K3716" s="9"/>
      <c r="L3716" s="9"/>
      <c r="M3716" s="9"/>
      <c r="N3716" s="9"/>
      <c r="O3716" s="9"/>
      <c r="P3716" s="9"/>
      <c r="Q3716" s="9"/>
      <c r="R3716" s="9"/>
      <c r="S3716" s="9"/>
      <c r="T3716" s="9"/>
      <c r="U3716" s="9"/>
      <c r="V3716" s="9"/>
      <c r="W3716" s="9"/>
      <c r="X3716" s="9"/>
      <c r="Y3716" s="9"/>
      <c r="Z3716" s="9"/>
      <c r="AA3716" s="9"/>
      <c r="AB3716" s="9"/>
      <c r="AC3716" s="9"/>
      <c r="AD3716" s="9"/>
    </row>
    <row r="3717" spans="1:30">
      <c r="I3717" s="580"/>
      <c r="J3717" s="581"/>
    </row>
    <row r="3718" spans="1:30">
      <c r="I3718" s="580"/>
      <c r="J3718" s="581"/>
    </row>
    <row r="3719" spans="1:30">
      <c r="I3719" s="580"/>
      <c r="J3719" s="581"/>
    </row>
    <row r="3720" spans="1:30">
      <c r="I3720" s="580"/>
      <c r="J3720" s="581"/>
    </row>
    <row r="3721" spans="1:30">
      <c r="I3721" s="580"/>
      <c r="J3721" s="581"/>
    </row>
    <row r="3722" spans="1:30">
      <c r="I3722" s="580"/>
      <c r="J3722" s="581"/>
    </row>
    <row r="3723" spans="1:30">
      <c r="I3723" s="580"/>
      <c r="J3723" s="581"/>
    </row>
    <row r="3724" spans="1:30">
      <c r="F3724" s="578"/>
      <c r="G3724" s="578"/>
      <c r="H3724" s="578"/>
      <c r="I3724" s="580"/>
      <c r="J3724" s="581"/>
      <c r="K3724"/>
      <c r="L3724"/>
      <c r="M3724"/>
      <c r="N3724"/>
      <c r="O3724"/>
      <c r="P3724"/>
      <c r="Q3724"/>
      <c r="R3724"/>
      <c r="S3724"/>
      <c r="T3724"/>
      <c r="U3724"/>
      <c r="V3724"/>
      <c r="W3724"/>
      <c r="X3724"/>
      <c r="Y3724"/>
      <c r="Z3724"/>
      <c r="AA3724"/>
      <c r="AB3724"/>
      <c r="AC3724"/>
      <c r="AD3724"/>
    </row>
    <row r="3725" spans="1:30">
      <c r="F3725" s="578"/>
      <c r="G3725" s="578"/>
      <c r="H3725" s="578"/>
      <c r="I3725" s="580"/>
      <c r="J3725" s="581"/>
      <c r="K3725"/>
      <c r="L3725"/>
      <c r="M3725"/>
      <c r="N3725"/>
      <c r="O3725"/>
      <c r="P3725"/>
      <c r="Q3725"/>
      <c r="R3725"/>
      <c r="S3725"/>
      <c r="T3725"/>
      <c r="U3725"/>
      <c r="V3725"/>
      <c r="W3725"/>
      <c r="X3725"/>
      <c r="Y3725"/>
      <c r="Z3725"/>
      <c r="AA3725"/>
      <c r="AB3725"/>
      <c r="AC3725"/>
      <c r="AD3725"/>
    </row>
    <row r="3726" spans="1:30">
      <c r="F3726" s="578"/>
      <c r="G3726" s="578"/>
      <c r="H3726" s="578"/>
      <c r="I3726" s="580"/>
      <c r="J3726" s="581"/>
      <c r="K3726"/>
      <c r="L3726"/>
      <c r="M3726"/>
      <c r="N3726"/>
      <c r="O3726"/>
      <c r="P3726"/>
      <c r="Q3726"/>
      <c r="R3726"/>
      <c r="S3726"/>
      <c r="T3726"/>
      <c r="U3726"/>
      <c r="V3726"/>
      <c r="W3726"/>
      <c r="X3726"/>
      <c r="Y3726"/>
      <c r="Z3726"/>
      <c r="AA3726"/>
      <c r="AB3726"/>
      <c r="AC3726"/>
      <c r="AD3726"/>
    </row>
    <row r="3727" spans="1:30">
      <c r="F3727" s="578"/>
      <c r="G3727" s="578"/>
      <c r="H3727" s="578"/>
      <c r="I3727" s="580"/>
      <c r="J3727" s="581"/>
      <c r="K3727"/>
      <c r="L3727"/>
      <c r="M3727"/>
      <c r="N3727"/>
      <c r="O3727"/>
      <c r="P3727"/>
      <c r="Q3727"/>
      <c r="R3727"/>
      <c r="S3727"/>
      <c r="T3727"/>
      <c r="U3727"/>
      <c r="V3727"/>
      <c r="W3727"/>
      <c r="X3727"/>
      <c r="Y3727"/>
      <c r="Z3727"/>
      <c r="AA3727"/>
      <c r="AB3727"/>
      <c r="AC3727"/>
      <c r="AD3727"/>
    </row>
    <row r="3728" spans="1:30">
      <c r="F3728" s="578"/>
      <c r="G3728" s="578"/>
      <c r="H3728" s="578"/>
      <c r="I3728" s="580"/>
      <c r="J3728" s="581"/>
      <c r="K3728"/>
      <c r="L3728"/>
      <c r="M3728"/>
      <c r="N3728"/>
      <c r="O3728"/>
      <c r="P3728"/>
      <c r="Q3728"/>
      <c r="R3728"/>
      <c r="S3728"/>
      <c r="T3728"/>
      <c r="U3728"/>
      <c r="V3728"/>
      <c r="W3728"/>
      <c r="X3728"/>
      <c r="Y3728"/>
      <c r="Z3728"/>
      <c r="AA3728"/>
      <c r="AB3728"/>
      <c r="AC3728"/>
      <c r="AD3728"/>
    </row>
    <row r="3729" spans="6:30">
      <c r="F3729" s="578"/>
      <c r="G3729" s="578"/>
      <c r="H3729" s="578"/>
      <c r="I3729" s="580"/>
      <c r="J3729" s="581"/>
      <c r="K3729"/>
      <c r="L3729"/>
      <c r="M3729"/>
      <c r="N3729"/>
      <c r="O3729"/>
      <c r="P3729"/>
      <c r="Q3729"/>
      <c r="R3729"/>
      <c r="S3729"/>
      <c r="T3729"/>
      <c r="U3729"/>
      <c r="V3729"/>
      <c r="W3729"/>
      <c r="X3729"/>
      <c r="Y3729"/>
      <c r="Z3729"/>
      <c r="AA3729"/>
      <c r="AB3729"/>
      <c r="AC3729"/>
      <c r="AD3729"/>
    </row>
    <row r="3730" spans="6:30">
      <c r="F3730" s="578"/>
      <c r="G3730" s="578"/>
      <c r="H3730" s="578"/>
      <c r="I3730" s="580"/>
      <c r="J3730" s="581"/>
      <c r="K3730"/>
      <c r="L3730"/>
      <c r="M3730"/>
      <c r="N3730"/>
      <c r="O3730"/>
      <c r="P3730"/>
      <c r="Q3730"/>
      <c r="R3730"/>
      <c r="S3730"/>
      <c r="T3730"/>
      <c r="U3730"/>
      <c r="V3730"/>
      <c r="W3730"/>
      <c r="X3730"/>
      <c r="Y3730"/>
      <c r="Z3730"/>
      <c r="AA3730"/>
      <c r="AB3730"/>
      <c r="AC3730"/>
      <c r="AD3730"/>
    </row>
    <row r="3731" spans="6:30">
      <c r="F3731" s="578"/>
      <c r="G3731" s="578"/>
      <c r="H3731" s="578"/>
      <c r="I3731" s="580"/>
      <c r="J3731" s="581"/>
      <c r="K3731"/>
      <c r="L3731"/>
      <c r="M3731"/>
      <c r="N3731"/>
      <c r="O3731"/>
      <c r="P3731"/>
      <c r="Q3731"/>
      <c r="R3731"/>
      <c r="S3731"/>
      <c r="T3731"/>
      <c r="U3731"/>
      <c r="V3731"/>
      <c r="W3731"/>
      <c r="X3731"/>
      <c r="Y3731"/>
      <c r="Z3731"/>
      <c r="AA3731"/>
      <c r="AB3731"/>
      <c r="AC3731"/>
      <c r="AD3731"/>
    </row>
    <row r="3732" spans="6:30">
      <c r="F3732" s="578"/>
      <c r="G3732" s="578"/>
      <c r="H3732" s="578"/>
      <c r="I3732" s="580"/>
      <c r="J3732" s="581"/>
      <c r="K3732"/>
      <c r="L3732"/>
      <c r="M3732"/>
      <c r="N3732"/>
      <c r="O3732"/>
      <c r="P3732"/>
      <c r="Q3732"/>
      <c r="R3732"/>
      <c r="S3732"/>
      <c r="T3732"/>
      <c r="U3732"/>
      <c r="V3732"/>
      <c r="W3732"/>
      <c r="X3732"/>
      <c r="Y3732"/>
      <c r="Z3732"/>
      <c r="AA3732"/>
      <c r="AB3732"/>
      <c r="AC3732"/>
      <c r="AD3732"/>
    </row>
    <row r="3733" spans="6:30">
      <c r="F3733" s="578"/>
      <c r="G3733" s="578"/>
      <c r="H3733" s="578"/>
      <c r="I3733" s="580"/>
      <c r="J3733" s="581"/>
      <c r="K3733"/>
      <c r="L3733"/>
      <c r="M3733"/>
      <c r="N3733"/>
      <c r="O3733"/>
      <c r="P3733"/>
      <c r="Q3733"/>
      <c r="R3733"/>
      <c r="S3733"/>
      <c r="T3733"/>
      <c r="U3733"/>
      <c r="V3733"/>
      <c r="W3733"/>
      <c r="X3733"/>
      <c r="Y3733"/>
      <c r="Z3733"/>
      <c r="AA3733"/>
      <c r="AB3733"/>
      <c r="AC3733"/>
      <c r="AD3733"/>
    </row>
    <row r="3734" spans="6:30">
      <c r="F3734" s="578"/>
      <c r="G3734" s="578"/>
      <c r="H3734" s="578"/>
      <c r="I3734" s="580"/>
      <c r="J3734" s="581"/>
      <c r="K3734"/>
      <c r="L3734"/>
      <c r="M3734"/>
      <c r="N3734"/>
      <c r="O3734"/>
      <c r="P3734"/>
      <c r="Q3734"/>
      <c r="R3734"/>
      <c r="S3734"/>
      <c r="T3734"/>
      <c r="U3734"/>
      <c r="V3734"/>
      <c r="W3734"/>
      <c r="X3734"/>
      <c r="Y3734"/>
      <c r="Z3734"/>
      <c r="AA3734"/>
      <c r="AB3734"/>
      <c r="AC3734"/>
      <c r="AD3734"/>
    </row>
    <row r="3735" spans="6:30">
      <c r="F3735" s="578"/>
      <c r="G3735" s="578"/>
      <c r="H3735" s="578"/>
      <c r="I3735" s="580"/>
      <c r="J3735" s="581"/>
      <c r="K3735"/>
      <c r="L3735"/>
      <c r="M3735"/>
      <c r="N3735"/>
      <c r="O3735"/>
      <c r="P3735"/>
      <c r="Q3735"/>
      <c r="R3735"/>
      <c r="S3735"/>
      <c r="T3735"/>
      <c r="U3735"/>
      <c r="V3735"/>
      <c r="W3735"/>
      <c r="X3735"/>
      <c r="Y3735"/>
      <c r="Z3735"/>
      <c r="AA3735"/>
      <c r="AB3735"/>
      <c r="AC3735"/>
      <c r="AD3735"/>
    </row>
    <row r="3736" spans="6:30">
      <c r="F3736" s="578"/>
      <c r="G3736" s="578"/>
      <c r="H3736" s="578"/>
      <c r="I3736" s="580"/>
      <c r="J3736" s="581"/>
      <c r="K3736"/>
      <c r="L3736"/>
      <c r="M3736"/>
      <c r="N3736"/>
      <c r="O3736"/>
      <c r="P3736"/>
      <c r="Q3736"/>
      <c r="R3736"/>
      <c r="S3736"/>
      <c r="T3736"/>
      <c r="U3736"/>
      <c r="V3736"/>
      <c r="W3736"/>
      <c r="X3736"/>
      <c r="Y3736"/>
      <c r="Z3736"/>
      <c r="AA3736"/>
      <c r="AB3736"/>
      <c r="AC3736"/>
      <c r="AD3736"/>
    </row>
    <row r="3737" spans="6:30">
      <c r="F3737" s="578"/>
      <c r="G3737" s="578"/>
      <c r="H3737" s="578"/>
      <c r="I3737" s="580"/>
      <c r="J3737" s="581"/>
      <c r="K3737"/>
      <c r="L3737"/>
      <c r="M3737"/>
      <c r="N3737"/>
      <c r="O3737"/>
      <c r="P3737"/>
      <c r="Q3737"/>
      <c r="R3737"/>
      <c r="S3737"/>
      <c r="T3737"/>
      <c r="U3737"/>
      <c r="V3737"/>
      <c r="W3737"/>
      <c r="X3737"/>
      <c r="Y3737"/>
      <c r="Z3737"/>
      <c r="AA3737"/>
      <c r="AB3737"/>
      <c r="AC3737"/>
      <c r="AD3737"/>
    </row>
    <row r="3738" spans="6:30">
      <c r="F3738" s="578"/>
      <c r="G3738" s="578"/>
      <c r="H3738" s="578"/>
      <c r="I3738" s="580"/>
      <c r="J3738" s="581"/>
      <c r="K3738"/>
      <c r="L3738"/>
      <c r="M3738"/>
      <c r="N3738"/>
      <c r="O3738"/>
      <c r="P3738"/>
      <c r="Q3738"/>
      <c r="R3738"/>
      <c r="S3738"/>
      <c r="T3738"/>
      <c r="U3738"/>
      <c r="V3738"/>
      <c r="W3738"/>
      <c r="X3738"/>
      <c r="Y3738"/>
      <c r="Z3738"/>
      <c r="AA3738"/>
      <c r="AB3738"/>
      <c r="AC3738"/>
      <c r="AD3738"/>
    </row>
    <row r="3739" spans="6:30">
      <c r="F3739" s="578"/>
      <c r="G3739" s="578"/>
      <c r="H3739" s="578"/>
      <c r="I3739" s="580"/>
      <c r="J3739" s="581"/>
      <c r="K3739"/>
      <c r="L3739"/>
      <c r="M3739"/>
      <c r="N3739"/>
      <c r="O3739"/>
      <c r="P3739"/>
      <c r="Q3739"/>
      <c r="R3739"/>
      <c r="S3739"/>
      <c r="T3739"/>
      <c r="U3739"/>
      <c r="V3739"/>
      <c r="W3739"/>
      <c r="X3739"/>
      <c r="Y3739"/>
      <c r="Z3739"/>
      <c r="AA3739"/>
      <c r="AB3739"/>
      <c r="AC3739"/>
      <c r="AD3739"/>
    </row>
    <row r="3740" spans="6:30">
      <c r="F3740" s="578"/>
      <c r="G3740" s="578"/>
      <c r="H3740" s="578"/>
      <c r="I3740" s="580"/>
      <c r="J3740" s="581"/>
      <c r="K3740"/>
      <c r="L3740"/>
      <c r="M3740"/>
      <c r="N3740"/>
      <c r="O3740"/>
      <c r="P3740"/>
      <c r="Q3740"/>
      <c r="R3740"/>
      <c r="S3740"/>
      <c r="T3740"/>
      <c r="U3740"/>
      <c r="V3740"/>
      <c r="W3740"/>
      <c r="X3740"/>
      <c r="Y3740"/>
      <c r="Z3740"/>
      <c r="AA3740"/>
      <c r="AB3740"/>
      <c r="AC3740"/>
      <c r="AD3740"/>
    </row>
    <row r="3741" spans="6:30">
      <c r="F3741" s="578"/>
      <c r="G3741" s="578"/>
      <c r="H3741" s="578"/>
      <c r="I3741" s="580"/>
      <c r="J3741" s="581"/>
      <c r="K3741"/>
      <c r="L3741"/>
      <c r="M3741"/>
      <c r="N3741"/>
      <c r="O3741"/>
      <c r="P3741"/>
      <c r="Q3741"/>
      <c r="R3741"/>
      <c r="S3741"/>
      <c r="T3741"/>
      <c r="U3741"/>
      <c r="V3741"/>
      <c r="W3741"/>
      <c r="X3741"/>
      <c r="Y3741"/>
      <c r="Z3741"/>
      <c r="AA3741"/>
      <c r="AB3741"/>
      <c r="AC3741"/>
      <c r="AD3741"/>
    </row>
    <row r="3742" spans="6:30">
      <c r="F3742" s="578"/>
      <c r="G3742" s="578"/>
      <c r="H3742" s="578"/>
      <c r="I3742" s="580"/>
      <c r="J3742" s="581"/>
      <c r="K3742"/>
      <c r="L3742"/>
      <c r="M3742"/>
      <c r="N3742"/>
      <c r="O3742"/>
      <c r="P3742"/>
      <c r="Q3742"/>
      <c r="R3742"/>
      <c r="S3742"/>
      <c r="T3742"/>
      <c r="U3742"/>
      <c r="V3742"/>
      <c r="W3742"/>
      <c r="X3742"/>
      <c r="Y3742"/>
      <c r="Z3742"/>
      <c r="AA3742"/>
      <c r="AB3742"/>
      <c r="AC3742"/>
      <c r="AD3742"/>
    </row>
    <row r="3743" spans="6:30">
      <c r="F3743" s="578"/>
      <c r="G3743" s="578"/>
      <c r="H3743" s="578"/>
      <c r="I3743" s="580"/>
      <c r="J3743" s="581"/>
      <c r="K3743"/>
      <c r="L3743"/>
      <c r="M3743"/>
      <c r="N3743"/>
      <c r="O3743"/>
      <c r="P3743"/>
      <c r="Q3743"/>
      <c r="R3743"/>
      <c r="S3743"/>
      <c r="T3743"/>
      <c r="U3743"/>
      <c r="V3743"/>
      <c r="W3743"/>
      <c r="X3743"/>
      <c r="Y3743"/>
      <c r="Z3743"/>
      <c r="AA3743"/>
      <c r="AB3743"/>
      <c r="AC3743"/>
      <c r="AD3743"/>
    </row>
    <row r="3744" spans="6:30">
      <c r="F3744" s="578"/>
      <c r="G3744" s="578"/>
      <c r="H3744" s="578"/>
      <c r="I3744" s="580"/>
      <c r="J3744" s="581"/>
      <c r="K3744"/>
      <c r="L3744"/>
      <c r="M3744"/>
      <c r="N3744"/>
      <c r="O3744"/>
      <c r="P3744"/>
      <c r="Q3744"/>
      <c r="R3744"/>
      <c r="S3744"/>
      <c r="T3744"/>
      <c r="U3744"/>
      <c r="V3744"/>
      <c r="W3744"/>
      <c r="X3744"/>
      <c r="Y3744"/>
      <c r="Z3744"/>
      <c r="AA3744"/>
      <c r="AB3744"/>
      <c r="AC3744"/>
      <c r="AD3744"/>
    </row>
    <row r="3745" spans="6:30">
      <c r="F3745" s="578"/>
      <c r="G3745" s="578"/>
      <c r="H3745" s="578"/>
      <c r="I3745" s="580"/>
      <c r="J3745" s="581"/>
      <c r="K3745"/>
      <c r="L3745"/>
      <c r="M3745"/>
      <c r="N3745"/>
      <c r="O3745"/>
      <c r="P3745"/>
      <c r="Q3745"/>
      <c r="R3745"/>
      <c r="S3745"/>
      <c r="T3745"/>
      <c r="U3745"/>
      <c r="V3745"/>
      <c r="W3745"/>
      <c r="X3745"/>
      <c r="Y3745"/>
      <c r="Z3745"/>
      <c r="AA3745"/>
      <c r="AB3745"/>
      <c r="AC3745"/>
      <c r="AD3745"/>
    </row>
    <row r="3746" spans="6:30">
      <c r="F3746" s="578"/>
      <c r="G3746" s="578"/>
      <c r="H3746" s="578"/>
      <c r="I3746" s="580"/>
      <c r="J3746" s="581"/>
      <c r="K3746"/>
      <c r="L3746"/>
      <c r="M3746"/>
      <c r="N3746"/>
      <c r="O3746"/>
      <c r="P3746"/>
      <c r="Q3746"/>
      <c r="R3746"/>
      <c r="S3746"/>
      <c r="T3746"/>
      <c r="U3746"/>
      <c r="V3746"/>
      <c r="W3746"/>
      <c r="X3746"/>
      <c r="Y3746"/>
      <c r="Z3746"/>
      <c r="AA3746"/>
      <c r="AB3746"/>
      <c r="AC3746"/>
      <c r="AD3746"/>
    </row>
    <row r="3747" spans="6:30">
      <c r="F3747" s="578"/>
      <c r="G3747" s="578"/>
      <c r="H3747" s="578"/>
      <c r="I3747" s="580"/>
      <c r="J3747" s="581"/>
      <c r="K3747"/>
      <c r="L3747"/>
      <c r="M3747"/>
      <c r="N3747"/>
      <c r="O3747"/>
      <c r="P3747"/>
      <c r="Q3747"/>
      <c r="R3747"/>
      <c r="S3747"/>
      <c r="T3747"/>
      <c r="U3747"/>
      <c r="V3747"/>
      <c r="W3747"/>
      <c r="X3747"/>
      <c r="Y3747"/>
      <c r="Z3747"/>
      <c r="AA3747"/>
      <c r="AB3747"/>
      <c r="AC3747"/>
      <c r="AD3747"/>
    </row>
    <row r="3748" spans="6:30">
      <c r="F3748" s="578"/>
      <c r="G3748" s="578"/>
      <c r="H3748" s="578"/>
      <c r="I3748" s="580"/>
      <c r="J3748" s="581"/>
      <c r="K3748"/>
      <c r="L3748"/>
      <c r="M3748"/>
      <c r="N3748"/>
      <c r="O3748"/>
      <c r="P3748"/>
      <c r="Q3748"/>
      <c r="R3748"/>
      <c r="S3748"/>
      <c r="T3748"/>
      <c r="U3748"/>
      <c r="V3748"/>
      <c r="W3748"/>
      <c r="X3748"/>
      <c r="Y3748"/>
      <c r="Z3748"/>
      <c r="AA3748"/>
      <c r="AB3748"/>
      <c r="AC3748"/>
      <c r="AD3748"/>
    </row>
    <row r="3749" spans="6:30">
      <c r="F3749" s="578"/>
      <c r="G3749" s="578"/>
      <c r="H3749" s="578"/>
      <c r="I3749" s="580"/>
      <c r="J3749" s="581"/>
      <c r="K3749"/>
      <c r="L3749"/>
      <c r="M3749"/>
      <c r="N3749"/>
      <c r="O3749"/>
      <c r="P3749"/>
      <c r="Q3749"/>
      <c r="R3749"/>
      <c r="S3749"/>
      <c r="T3749"/>
      <c r="U3749"/>
      <c r="V3749"/>
      <c r="W3749"/>
      <c r="X3749"/>
      <c r="Y3749"/>
      <c r="Z3749"/>
      <c r="AA3749"/>
      <c r="AB3749"/>
      <c r="AC3749"/>
      <c r="AD3749"/>
    </row>
    <row r="3750" spans="6:30">
      <c r="F3750" s="578"/>
      <c r="G3750" s="578"/>
      <c r="H3750" s="578"/>
      <c r="I3750" s="580"/>
      <c r="J3750" s="581"/>
      <c r="K3750"/>
      <c r="L3750"/>
      <c r="M3750"/>
      <c r="N3750"/>
      <c r="O3750"/>
      <c r="P3750"/>
      <c r="Q3750"/>
      <c r="R3750"/>
      <c r="S3750"/>
      <c r="T3750"/>
      <c r="U3750"/>
      <c r="V3750"/>
      <c r="W3750"/>
      <c r="X3750"/>
      <c r="Y3750"/>
      <c r="Z3750"/>
      <c r="AA3750"/>
      <c r="AB3750"/>
      <c r="AC3750"/>
      <c r="AD3750"/>
    </row>
    <row r="3751" spans="6:30">
      <c r="F3751" s="578"/>
      <c r="G3751" s="578"/>
      <c r="H3751" s="578"/>
      <c r="I3751" s="580"/>
      <c r="J3751" s="581"/>
      <c r="K3751"/>
      <c r="L3751"/>
      <c r="M3751"/>
      <c r="N3751"/>
      <c r="O3751"/>
      <c r="P3751"/>
      <c r="Q3751"/>
      <c r="R3751"/>
      <c r="S3751"/>
      <c r="T3751"/>
      <c r="U3751"/>
      <c r="V3751"/>
      <c r="W3751"/>
      <c r="X3751"/>
      <c r="Y3751"/>
      <c r="Z3751"/>
      <c r="AA3751"/>
      <c r="AB3751"/>
      <c r="AC3751"/>
      <c r="AD3751"/>
    </row>
    <row r="3752" spans="6:30">
      <c r="F3752" s="578"/>
      <c r="G3752" s="578"/>
      <c r="H3752" s="578"/>
      <c r="I3752" s="580"/>
      <c r="J3752" s="581"/>
      <c r="K3752"/>
      <c r="L3752"/>
      <c r="M3752"/>
      <c r="N3752"/>
      <c r="O3752"/>
      <c r="P3752"/>
      <c r="Q3752"/>
      <c r="R3752"/>
      <c r="S3752"/>
      <c r="T3752"/>
      <c r="U3752"/>
      <c r="V3752"/>
      <c r="W3752"/>
      <c r="X3752"/>
      <c r="Y3752"/>
      <c r="Z3752"/>
      <c r="AA3752"/>
      <c r="AB3752"/>
      <c r="AC3752"/>
      <c r="AD3752"/>
    </row>
    <row r="3753" spans="6:30">
      <c r="F3753" s="578"/>
      <c r="G3753" s="578"/>
      <c r="H3753" s="578"/>
      <c r="I3753" s="580"/>
      <c r="J3753" s="581"/>
      <c r="K3753"/>
      <c r="L3753"/>
      <c r="M3753"/>
      <c r="N3753"/>
      <c r="O3753"/>
      <c r="P3753"/>
      <c r="Q3753"/>
      <c r="R3753"/>
      <c r="S3753"/>
      <c r="T3753"/>
      <c r="U3753"/>
      <c r="V3753"/>
      <c r="W3753"/>
      <c r="X3753"/>
      <c r="Y3753"/>
      <c r="Z3753"/>
      <c r="AA3753"/>
      <c r="AB3753"/>
      <c r="AC3753"/>
      <c r="AD3753"/>
    </row>
    <row r="3754" spans="6:30">
      <c r="F3754" s="578"/>
      <c r="G3754" s="578"/>
      <c r="H3754" s="578"/>
      <c r="I3754" s="580"/>
      <c r="J3754" s="581"/>
      <c r="K3754"/>
      <c r="L3754"/>
      <c r="M3754"/>
      <c r="N3754"/>
      <c r="O3754"/>
      <c r="P3754"/>
      <c r="Q3754"/>
      <c r="R3754"/>
      <c r="S3754"/>
      <c r="T3754"/>
      <c r="U3754"/>
      <c r="V3754"/>
      <c r="W3754"/>
      <c r="X3754"/>
      <c r="Y3754"/>
      <c r="Z3754"/>
      <c r="AA3754"/>
      <c r="AB3754"/>
      <c r="AC3754"/>
      <c r="AD3754"/>
    </row>
    <row r="3755" spans="6:30">
      <c r="F3755" s="578"/>
      <c r="G3755" s="578"/>
      <c r="H3755" s="578"/>
      <c r="I3755" s="580"/>
      <c r="J3755" s="581"/>
      <c r="K3755"/>
      <c r="L3755"/>
      <c r="M3755"/>
      <c r="N3755"/>
      <c r="O3755"/>
      <c r="P3755"/>
      <c r="Q3755"/>
      <c r="R3755"/>
      <c r="S3755"/>
      <c r="T3755"/>
      <c r="U3755"/>
      <c r="V3755"/>
      <c r="W3755"/>
      <c r="X3755"/>
      <c r="Y3755"/>
      <c r="Z3755"/>
      <c r="AA3755"/>
      <c r="AB3755"/>
      <c r="AC3755"/>
      <c r="AD3755"/>
    </row>
    <row r="3756" spans="6:30">
      <c r="F3756" s="578"/>
      <c r="G3756" s="578"/>
      <c r="H3756" s="578"/>
      <c r="I3756" s="580"/>
      <c r="J3756" s="581"/>
      <c r="K3756"/>
      <c r="L3756"/>
      <c r="M3756"/>
      <c r="N3756"/>
      <c r="O3756"/>
      <c r="P3756"/>
      <c r="Q3756"/>
      <c r="R3756"/>
      <c r="S3756"/>
      <c r="T3756"/>
      <c r="U3756"/>
      <c r="V3756"/>
      <c r="W3756"/>
      <c r="X3756"/>
      <c r="Y3756"/>
      <c r="Z3756"/>
      <c r="AA3756"/>
      <c r="AB3756"/>
      <c r="AC3756"/>
      <c r="AD3756"/>
    </row>
    <row r="3757" spans="6:30">
      <c r="F3757" s="578"/>
      <c r="G3757" s="578"/>
      <c r="H3757" s="578"/>
      <c r="I3757" s="580"/>
      <c r="J3757" s="581"/>
      <c r="K3757"/>
      <c r="L3757"/>
      <c r="M3757"/>
      <c r="N3757"/>
      <c r="O3757"/>
      <c r="P3757"/>
      <c r="Q3757"/>
      <c r="R3757"/>
      <c r="S3757"/>
      <c r="T3757"/>
      <c r="U3757"/>
      <c r="V3757"/>
      <c r="W3757"/>
      <c r="X3757"/>
      <c r="Y3757"/>
      <c r="Z3757"/>
      <c r="AA3757"/>
      <c r="AB3757"/>
      <c r="AC3757"/>
      <c r="AD3757"/>
    </row>
    <row r="3758" spans="6:30">
      <c r="F3758" s="578"/>
      <c r="G3758" s="578"/>
      <c r="H3758" s="578"/>
      <c r="I3758" s="580"/>
      <c r="J3758" s="581"/>
      <c r="K3758"/>
      <c r="L3758"/>
      <c r="M3758"/>
      <c r="N3758"/>
      <c r="O3758"/>
      <c r="P3758"/>
      <c r="Q3758"/>
      <c r="R3758"/>
      <c r="S3758"/>
      <c r="T3758"/>
      <c r="U3758"/>
      <c r="V3758"/>
      <c r="W3758"/>
      <c r="X3758"/>
      <c r="Y3758"/>
      <c r="Z3758"/>
      <c r="AA3758"/>
      <c r="AB3758"/>
      <c r="AC3758"/>
      <c r="AD3758"/>
    </row>
    <row r="3759" spans="6:30">
      <c r="F3759" s="578"/>
      <c r="G3759" s="578"/>
      <c r="H3759" s="578"/>
      <c r="I3759" s="580"/>
      <c r="J3759" s="581"/>
      <c r="K3759"/>
      <c r="L3759"/>
      <c r="M3759"/>
      <c r="N3759"/>
      <c r="O3759"/>
      <c r="P3759"/>
      <c r="Q3759"/>
      <c r="R3759"/>
      <c r="S3759"/>
      <c r="T3759"/>
      <c r="U3759"/>
      <c r="V3759"/>
      <c r="W3759"/>
      <c r="X3759"/>
      <c r="Y3759"/>
      <c r="Z3759"/>
      <c r="AA3759"/>
      <c r="AB3759"/>
      <c r="AC3759"/>
      <c r="AD3759"/>
    </row>
    <row r="3760" spans="6:30">
      <c r="F3760" s="578"/>
      <c r="G3760" s="578"/>
      <c r="H3760" s="578"/>
      <c r="I3760" s="580"/>
      <c r="J3760" s="581"/>
      <c r="K3760"/>
      <c r="L3760"/>
      <c r="M3760"/>
      <c r="N3760"/>
      <c r="O3760"/>
      <c r="P3760"/>
      <c r="Q3760"/>
      <c r="R3760"/>
      <c r="S3760"/>
      <c r="T3760"/>
      <c r="U3760"/>
      <c r="V3760"/>
      <c r="W3760"/>
      <c r="X3760"/>
      <c r="Y3760"/>
      <c r="Z3760"/>
      <c r="AA3760"/>
      <c r="AB3760"/>
      <c r="AC3760"/>
      <c r="AD3760"/>
    </row>
    <row r="3761" spans="6:30">
      <c r="F3761" s="578"/>
      <c r="G3761" s="578"/>
      <c r="H3761" s="578"/>
      <c r="I3761" s="580"/>
      <c r="J3761" s="581"/>
      <c r="K3761"/>
      <c r="L3761"/>
      <c r="M3761"/>
      <c r="N3761"/>
      <c r="O3761"/>
      <c r="P3761"/>
      <c r="Q3761"/>
      <c r="R3761"/>
      <c r="S3761"/>
      <c r="T3761"/>
      <c r="U3761"/>
      <c r="V3761"/>
      <c r="W3761"/>
      <c r="X3761"/>
      <c r="Y3761"/>
      <c r="Z3761"/>
      <c r="AA3761"/>
      <c r="AB3761"/>
      <c r="AC3761"/>
      <c r="AD3761"/>
    </row>
    <row r="3762" spans="6:30">
      <c r="F3762" s="578"/>
      <c r="G3762" s="578"/>
      <c r="H3762" s="578"/>
      <c r="I3762" s="580"/>
      <c r="J3762" s="581"/>
      <c r="K3762"/>
      <c r="L3762"/>
      <c r="M3762"/>
      <c r="N3762"/>
      <c r="O3762"/>
      <c r="P3762"/>
      <c r="Q3762"/>
      <c r="R3762"/>
      <c r="S3762"/>
      <c r="T3762"/>
      <c r="U3762"/>
      <c r="V3762"/>
      <c r="W3762"/>
      <c r="X3762"/>
      <c r="Y3762"/>
      <c r="Z3762"/>
      <c r="AA3762"/>
      <c r="AB3762"/>
      <c r="AC3762"/>
      <c r="AD3762"/>
    </row>
    <row r="3763" spans="6:30">
      <c r="F3763" s="578"/>
      <c r="G3763" s="578"/>
      <c r="H3763" s="578"/>
      <c r="I3763" s="580"/>
      <c r="J3763" s="581"/>
      <c r="K3763"/>
      <c r="L3763"/>
      <c r="M3763"/>
      <c r="N3763"/>
      <c r="O3763"/>
      <c r="P3763"/>
      <c r="Q3763"/>
      <c r="R3763"/>
      <c r="S3763"/>
      <c r="T3763"/>
      <c r="U3763"/>
      <c r="V3763"/>
      <c r="W3763"/>
      <c r="X3763"/>
      <c r="Y3763"/>
      <c r="Z3763"/>
      <c r="AA3763"/>
      <c r="AB3763"/>
      <c r="AC3763"/>
      <c r="AD3763"/>
    </row>
    <row r="3764" spans="6:30">
      <c r="F3764" s="578"/>
      <c r="G3764" s="578"/>
      <c r="H3764" s="578"/>
      <c r="I3764" s="580"/>
      <c r="J3764" s="581"/>
      <c r="K3764"/>
      <c r="L3764"/>
      <c r="M3764"/>
      <c r="N3764"/>
      <c r="O3764"/>
      <c r="P3764"/>
      <c r="Q3764"/>
      <c r="R3764"/>
      <c r="S3764"/>
      <c r="T3764"/>
      <c r="U3764"/>
      <c r="V3764"/>
      <c r="W3764"/>
      <c r="X3764"/>
      <c r="Y3764"/>
      <c r="Z3764"/>
      <c r="AA3764"/>
      <c r="AB3764"/>
      <c r="AC3764"/>
      <c r="AD3764"/>
    </row>
    <row r="3765" spans="6:30">
      <c r="F3765" s="578"/>
      <c r="G3765" s="578"/>
      <c r="H3765" s="578"/>
      <c r="I3765" s="580"/>
      <c r="J3765" s="581"/>
      <c r="K3765"/>
      <c r="L3765"/>
      <c r="M3765"/>
      <c r="N3765"/>
      <c r="O3765"/>
      <c r="P3765"/>
      <c r="Q3765"/>
      <c r="R3765"/>
      <c r="S3765"/>
      <c r="T3765"/>
      <c r="U3765"/>
      <c r="V3765"/>
      <c r="W3765"/>
      <c r="X3765"/>
      <c r="Y3765"/>
      <c r="Z3765"/>
      <c r="AA3765"/>
      <c r="AB3765"/>
      <c r="AC3765"/>
      <c r="AD3765"/>
    </row>
    <row r="3766" spans="6:30">
      <c r="F3766" s="578"/>
      <c r="G3766" s="578"/>
      <c r="H3766" s="578"/>
      <c r="I3766" s="580"/>
      <c r="J3766" s="581"/>
      <c r="K3766"/>
      <c r="L3766"/>
      <c r="M3766"/>
      <c r="N3766"/>
      <c r="O3766"/>
      <c r="P3766"/>
      <c r="Q3766"/>
      <c r="R3766"/>
      <c r="S3766"/>
      <c r="T3766"/>
      <c r="U3766"/>
      <c r="V3766"/>
      <c r="W3766"/>
      <c r="X3766"/>
      <c r="Y3766"/>
      <c r="Z3766"/>
      <c r="AA3766"/>
      <c r="AB3766"/>
      <c r="AC3766"/>
      <c r="AD3766"/>
    </row>
    <row r="3767" spans="6:30">
      <c r="F3767" s="578"/>
      <c r="G3767" s="578"/>
      <c r="H3767" s="578"/>
      <c r="I3767" s="580"/>
      <c r="J3767" s="581"/>
      <c r="K3767"/>
      <c r="L3767"/>
      <c r="M3767"/>
      <c r="N3767"/>
      <c r="O3767"/>
      <c r="P3767"/>
      <c r="Q3767"/>
      <c r="R3767"/>
      <c r="S3767"/>
      <c r="T3767"/>
      <c r="U3767"/>
      <c r="V3767"/>
      <c r="W3767"/>
      <c r="X3767"/>
      <c r="Y3767"/>
      <c r="Z3767"/>
      <c r="AA3767"/>
      <c r="AB3767"/>
      <c r="AC3767"/>
      <c r="AD3767"/>
    </row>
    <row r="3768" spans="6:30">
      <c r="F3768" s="578"/>
      <c r="G3768" s="578"/>
      <c r="H3768" s="578"/>
      <c r="I3768" s="580"/>
      <c r="J3768" s="581"/>
      <c r="K3768"/>
      <c r="L3768"/>
      <c r="M3768"/>
      <c r="N3768"/>
      <c r="O3768"/>
      <c r="P3768"/>
      <c r="Q3768"/>
      <c r="R3768"/>
      <c r="S3768"/>
      <c r="T3768"/>
      <c r="U3768"/>
      <c r="V3768"/>
      <c r="W3768"/>
      <c r="X3768"/>
      <c r="Y3768"/>
      <c r="Z3768"/>
      <c r="AA3768"/>
      <c r="AB3768"/>
      <c r="AC3768"/>
      <c r="AD3768"/>
    </row>
    <row r="3769" spans="6:30">
      <c r="F3769" s="578"/>
      <c r="G3769" s="578"/>
      <c r="H3769" s="578"/>
      <c r="I3769" s="580"/>
      <c r="J3769" s="581"/>
      <c r="K3769"/>
      <c r="L3769"/>
      <c r="M3769"/>
      <c r="N3769"/>
      <c r="O3769"/>
      <c r="P3769"/>
      <c r="Q3769"/>
      <c r="R3769"/>
      <c r="S3769"/>
      <c r="T3769"/>
      <c r="U3769"/>
      <c r="V3769"/>
      <c r="W3769"/>
      <c r="X3769"/>
      <c r="Y3769"/>
      <c r="Z3769"/>
      <c r="AA3769"/>
      <c r="AB3769"/>
      <c r="AC3769"/>
      <c r="AD3769"/>
    </row>
    <row r="3770" spans="6:30">
      <c r="F3770" s="578"/>
      <c r="G3770" s="578"/>
      <c r="H3770" s="578"/>
      <c r="I3770" s="580"/>
      <c r="J3770" s="581"/>
      <c r="K3770"/>
      <c r="L3770"/>
      <c r="M3770"/>
      <c r="N3770"/>
      <c r="O3770"/>
      <c r="P3770"/>
      <c r="Q3770"/>
      <c r="R3770"/>
      <c r="S3770"/>
      <c r="T3770"/>
      <c r="U3770"/>
      <c r="V3770"/>
      <c r="W3770"/>
      <c r="X3770"/>
      <c r="Y3770"/>
      <c r="Z3770"/>
      <c r="AA3770"/>
      <c r="AB3770"/>
      <c r="AC3770"/>
      <c r="AD3770"/>
    </row>
    <row r="3771" spans="6:30">
      <c r="F3771" s="578"/>
      <c r="G3771" s="578"/>
      <c r="H3771" s="578"/>
      <c r="I3771" s="580"/>
      <c r="J3771" s="581"/>
      <c r="K3771"/>
      <c r="L3771"/>
      <c r="M3771"/>
      <c r="N3771"/>
      <c r="O3771"/>
      <c r="P3771"/>
      <c r="Q3771"/>
      <c r="R3771"/>
      <c r="S3771"/>
      <c r="T3771"/>
      <c r="U3771"/>
      <c r="V3771"/>
      <c r="W3771"/>
      <c r="X3771"/>
      <c r="Y3771"/>
      <c r="Z3771"/>
      <c r="AA3771"/>
      <c r="AB3771"/>
      <c r="AC3771"/>
      <c r="AD3771"/>
    </row>
    <row r="3772" spans="6:30">
      <c r="F3772" s="578"/>
      <c r="G3772" s="578"/>
      <c r="H3772" s="578"/>
      <c r="I3772" s="580"/>
      <c r="J3772" s="581"/>
      <c r="K3772"/>
      <c r="L3772"/>
      <c r="M3772"/>
      <c r="N3772"/>
      <c r="O3772"/>
      <c r="P3772"/>
      <c r="Q3772"/>
      <c r="R3772"/>
      <c r="S3772"/>
      <c r="T3772"/>
      <c r="U3772"/>
      <c r="V3772"/>
      <c r="W3772"/>
      <c r="X3772"/>
      <c r="Y3772"/>
      <c r="Z3772"/>
      <c r="AA3772"/>
      <c r="AB3772"/>
      <c r="AC3772"/>
      <c r="AD3772"/>
    </row>
    <row r="3773" spans="6:30">
      <c r="F3773" s="578"/>
      <c r="G3773" s="578"/>
      <c r="H3773" s="578"/>
      <c r="I3773" s="580"/>
      <c r="J3773" s="581"/>
      <c r="K3773"/>
      <c r="L3773"/>
      <c r="M3773"/>
      <c r="N3773"/>
      <c r="O3773"/>
      <c r="P3773"/>
      <c r="Q3773"/>
      <c r="R3773"/>
      <c r="S3773"/>
      <c r="T3773"/>
      <c r="U3773"/>
      <c r="V3773"/>
      <c r="W3773"/>
      <c r="X3773"/>
      <c r="Y3773"/>
      <c r="Z3773"/>
      <c r="AA3773"/>
      <c r="AB3773"/>
      <c r="AC3773"/>
      <c r="AD3773"/>
    </row>
    <row r="3774" spans="6:30">
      <c r="F3774" s="578"/>
      <c r="G3774" s="578"/>
      <c r="H3774" s="578"/>
      <c r="I3774" s="580"/>
      <c r="J3774" s="581"/>
      <c r="K3774"/>
      <c r="L3774"/>
      <c r="M3774"/>
      <c r="N3774"/>
      <c r="O3774"/>
      <c r="P3774"/>
      <c r="Q3774"/>
      <c r="R3774"/>
      <c r="S3774"/>
      <c r="T3774"/>
      <c r="U3774"/>
      <c r="V3774"/>
      <c r="W3774"/>
      <c r="X3774"/>
      <c r="Y3774"/>
      <c r="Z3774"/>
      <c r="AA3774"/>
      <c r="AB3774"/>
      <c r="AC3774"/>
      <c r="AD3774"/>
    </row>
    <row r="3775" spans="6:30">
      <c r="F3775" s="578"/>
      <c r="G3775" s="578"/>
      <c r="H3775" s="578"/>
      <c r="I3775" s="580"/>
      <c r="J3775" s="581"/>
      <c r="K3775"/>
      <c r="L3775"/>
      <c r="M3775"/>
      <c r="N3775"/>
      <c r="O3775"/>
      <c r="P3775"/>
      <c r="Q3775"/>
      <c r="R3775"/>
      <c r="S3775"/>
      <c r="T3775"/>
      <c r="U3775"/>
      <c r="V3775"/>
      <c r="W3775"/>
      <c r="X3775"/>
      <c r="Y3775"/>
      <c r="Z3775"/>
      <c r="AA3775"/>
      <c r="AB3775"/>
      <c r="AC3775"/>
      <c r="AD3775"/>
    </row>
    <row r="3776" spans="6:30">
      <c r="F3776" s="578"/>
      <c r="G3776" s="578"/>
      <c r="H3776" s="578"/>
      <c r="I3776" s="580"/>
      <c r="J3776" s="581"/>
      <c r="K3776"/>
      <c r="L3776"/>
      <c r="M3776"/>
      <c r="N3776"/>
      <c r="O3776"/>
      <c r="P3776"/>
      <c r="Q3776"/>
      <c r="R3776"/>
      <c r="S3776"/>
      <c r="T3776"/>
      <c r="U3776"/>
      <c r="V3776"/>
      <c r="W3776"/>
      <c r="X3776"/>
      <c r="Y3776"/>
      <c r="Z3776"/>
      <c r="AA3776"/>
      <c r="AB3776"/>
      <c r="AC3776"/>
      <c r="AD3776"/>
    </row>
    <row r="3777" spans="6:30">
      <c r="F3777" s="578"/>
      <c r="G3777" s="578"/>
      <c r="H3777" s="578"/>
      <c r="I3777" s="580"/>
      <c r="J3777" s="581"/>
      <c r="K3777"/>
      <c r="L3777"/>
      <c r="M3777"/>
      <c r="N3777"/>
      <c r="O3777"/>
      <c r="P3777"/>
      <c r="Q3777"/>
      <c r="R3777"/>
      <c r="S3777"/>
      <c r="T3777"/>
      <c r="U3777"/>
      <c r="V3777"/>
      <c r="W3777"/>
      <c r="X3777"/>
      <c r="Y3777"/>
      <c r="Z3777"/>
      <c r="AA3777"/>
      <c r="AB3777"/>
      <c r="AC3777"/>
      <c r="AD3777"/>
    </row>
    <row r="3778" spans="6:30">
      <c r="F3778" s="578"/>
      <c r="G3778" s="578"/>
      <c r="H3778" s="578"/>
      <c r="I3778" s="580"/>
      <c r="J3778" s="581"/>
      <c r="K3778"/>
      <c r="L3778"/>
      <c r="M3778"/>
      <c r="N3778"/>
      <c r="O3778"/>
      <c r="P3778"/>
      <c r="Q3778"/>
      <c r="R3778"/>
      <c r="S3778"/>
      <c r="T3778"/>
      <c r="U3778"/>
      <c r="V3778"/>
      <c r="W3778"/>
      <c r="X3778"/>
      <c r="Y3778"/>
      <c r="Z3778"/>
      <c r="AA3778"/>
      <c r="AB3778"/>
      <c r="AC3778"/>
      <c r="AD3778"/>
    </row>
    <row r="3779" spans="6:30">
      <c r="F3779" s="578"/>
      <c r="G3779" s="578"/>
      <c r="H3779" s="578"/>
      <c r="I3779" s="580"/>
      <c r="J3779" s="581"/>
      <c r="K3779"/>
      <c r="L3779"/>
      <c r="M3779"/>
      <c r="N3779"/>
      <c r="O3779"/>
      <c r="P3779"/>
      <c r="Q3779"/>
      <c r="R3779"/>
      <c r="S3779"/>
      <c r="T3779"/>
      <c r="U3779"/>
      <c r="V3779"/>
      <c r="W3779"/>
      <c r="X3779"/>
      <c r="Y3779"/>
      <c r="Z3779"/>
      <c r="AA3779"/>
      <c r="AB3779"/>
      <c r="AC3779"/>
      <c r="AD3779"/>
    </row>
    <row r="3780" spans="6:30">
      <c r="F3780" s="578"/>
      <c r="G3780" s="578"/>
      <c r="H3780" s="578"/>
      <c r="I3780" s="580"/>
      <c r="J3780" s="581"/>
      <c r="K3780"/>
      <c r="L3780"/>
      <c r="M3780"/>
      <c r="N3780"/>
      <c r="O3780"/>
      <c r="P3780"/>
      <c r="Q3780"/>
      <c r="R3780"/>
      <c r="S3780"/>
      <c r="T3780"/>
      <c r="U3780"/>
      <c r="V3780"/>
      <c r="W3780"/>
      <c r="X3780"/>
      <c r="Y3780"/>
      <c r="Z3780"/>
      <c r="AA3780"/>
      <c r="AB3780"/>
      <c r="AC3780"/>
      <c r="AD3780"/>
    </row>
    <row r="3781" spans="6:30">
      <c r="F3781" s="578"/>
      <c r="G3781" s="578"/>
      <c r="H3781" s="578"/>
      <c r="I3781" s="580"/>
      <c r="J3781" s="581"/>
      <c r="K3781"/>
      <c r="L3781"/>
      <c r="M3781"/>
      <c r="N3781"/>
      <c r="O3781"/>
      <c r="P3781"/>
      <c r="Q3781"/>
      <c r="R3781"/>
      <c r="S3781"/>
      <c r="T3781"/>
      <c r="U3781"/>
      <c r="V3781"/>
      <c r="W3781"/>
      <c r="X3781"/>
      <c r="Y3781"/>
      <c r="Z3781"/>
      <c r="AA3781"/>
      <c r="AB3781"/>
      <c r="AC3781"/>
      <c r="AD3781"/>
    </row>
    <row r="3782" spans="6:30">
      <c r="F3782" s="578"/>
      <c r="G3782" s="578"/>
      <c r="H3782" s="578"/>
      <c r="I3782" s="580"/>
      <c r="J3782" s="581"/>
      <c r="K3782"/>
      <c r="L3782"/>
      <c r="M3782"/>
      <c r="N3782"/>
      <c r="O3782"/>
      <c r="P3782"/>
      <c r="Q3782"/>
      <c r="R3782"/>
      <c r="S3782"/>
      <c r="T3782"/>
      <c r="U3782"/>
      <c r="V3782"/>
      <c r="W3782"/>
      <c r="X3782"/>
      <c r="Y3782"/>
      <c r="Z3782"/>
      <c r="AA3782"/>
      <c r="AB3782"/>
      <c r="AC3782"/>
      <c r="AD3782"/>
    </row>
    <row r="3783" spans="6:30">
      <c r="F3783" s="578"/>
      <c r="G3783" s="578"/>
      <c r="H3783" s="578"/>
      <c r="I3783" s="580"/>
      <c r="J3783" s="581"/>
      <c r="K3783"/>
      <c r="L3783"/>
      <c r="M3783"/>
      <c r="N3783"/>
      <c r="O3783"/>
      <c r="P3783"/>
      <c r="Q3783"/>
      <c r="R3783"/>
      <c r="S3783"/>
      <c r="T3783"/>
      <c r="U3783"/>
      <c r="V3783"/>
      <c r="W3783"/>
      <c r="X3783"/>
      <c r="Y3783"/>
      <c r="Z3783"/>
      <c r="AA3783"/>
      <c r="AB3783"/>
      <c r="AC3783"/>
      <c r="AD3783"/>
    </row>
    <row r="3784" spans="6:30">
      <c r="F3784" s="578"/>
      <c r="G3784" s="578"/>
      <c r="H3784" s="578"/>
      <c r="I3784" s="580"/>
      <c r="J3784" s="581"/>
      <c r="K3784"/>
      <c r="L3784"/>
      <c r="M3784"/>
      <c r="N3784"/>
      <c r="O3784"/>
      <c r="P3784"/>
      <c r="Q3784"/>
      <c r="R3784"/>
      <c r="S3784"/>
      <c r="T3784"/>
      <c r="U3784"/>
      <c r="V3784"/>
      <c r="W3784"/>
      <c r="X3784"/>
      <c r="Y3784"/>
      <c r="Z3784"/>
      <c r="AA3784"/>
      <c r="AB3784"/>
      <c r="AC3784"/>
      <c r="AD3784"/>
    </row>
    <row r="3785" spans="6:30">
      <c r="F3785" s="578"/>
      <c r="G3785" s="578"/>
      <c r="H3785" s="578"/>
      <c r="I3785" s="580"/>
      <c r="J3785" s="581"/>
      <c r="K3785"/>
      <c r="L3785"/>
      <c r="M3785"/>
      <c r="N3785"/>
      <c r="O3785"/>
      <c r="P3785"/>
      <c r="Q3785"/>
      <c r="R3785"/>
      <c r="S3785"/>
      <c r="T3785"/>
      <c r="U3785"/>
      <c r="V3785"/>
      <c r="W3785"/>
      <c r="X3785"/>
      <c r="Y3785"/>
      <c r="Z3785"/>
      <c r="AA3785"/>
      <c r="AB3785"/>
      <c r="AC3785"/>
      <c r="AD3785"/>
    </row>
    <row r="3786" spans="6:30">
      <c r="F3786" s="578"/>
      <c r="G3786" s="578"/>
      <c r="H3786" s="578"/>
      <c r="I3786" s="580"/>
      <c r="J3786" s="581"/>
      <c r="K3786"/>
      <c r="L3786"/>
      <c r="M3786"/>
      <c r="N3786"/>
      <c r="O3786"/>
      <c r="P3786"/>
      <c r="Q3786"/>
      <c r="R3786"/>
      <c r="S3786"/>
      <c r="T3786"/>
      <c r="U3786"/>
      <c r="V3786"/>
      <c r="W3786"/>
      <c r="X3786"/>
      <c r="Y3786"/>
      <c r="Z3786"/>
      <c r="AA3786"/>
      <c r="AB3786"/>
      <c r="AC3786"/>
      <c r="AD3786"/>
    </row>
    <row r="3787" spans="6:30">
      <c r="F3787" s="578"/>
      <c r="G3787" s="578"/>
      <c r="H3787" s="578"/>
      <c r="I3787" s="580"/>
      <c r="J3787" s="581"/>
      <c r="K3787"/>
      <c r="L3787"/>
      <c r="M3787"/>
      <c r="N3787"/>
      <c r="O3787"/>
      <c r="P3787"/>
      <c r="Q3787"/>
      <c r="R3787"/>
      <c r="S3787"/>
      <c r="T3787"/>
      <c r="U3787"/>
      <c r="V3787"/>
      <c r="W3787"/>
      <c r="X3787"/>
      <c r="Y3787"/>
      <c r="Z3787"/>
      <c r="AA3787"/>
      <c r="AB3787"/>
      <c r="AC3787"/>
      <c r="AD3787"/>
    </row>
    <row r="3788" spans="6:30">
      <c r="F3788" s="578"/>
      <c r="G3788" s="578"/>
      <c r="H3788" s="578"/>
      <c r="I3788" s="580"/>
      <c r="J3788" s="581"/>
      <c r="K3788"/>
      <c r="L3788"/>
      <c r="M3788"/>
      <c r="N3788"/>
      <c r="O3788"/>
      <c r="P3788"/>
      <c r="Q3788"/>
      <c r="R3788"/>
      <c r="S3788"/>
      <c r="T3788"/>
      <c r="U3788"/>
      <c r="V3788"/>
      <c r="W3788"/>
      <c r="X3788"/>
      <c r="Y3788"/>
      <c r="Z3788"/>
      <c r="AA3788"/>
      <c r="AB3788"/>
      <c r="AC3788"/>
      <c r="AD3788"/>
    </row>
    <row r="3789" spans="6:30">
      <c r="F3789" s="578"/>
      <c r="G3789" s="578"/>
      <c r="H3789" s="578"/>
      <c r="I3789" s="580"/>
      <c r="J3789" s="581"/>
      <c r="K3789"/>
      <c r="L3789"/>
      <c r="M3789"/>
      <c r="N3789"/>
      <c r="O3789"/>
      <c r="P3789"/>
      <c r="Q3789"/>
      <c r="R3789"/>
      <c r="S3789"/>
      <c r="T3789"/>
      <c r="U3789"/>
      <c r="V3789"/>
      <c r="W3789"/>
      <c r="X3789"/>
      <c r="Y3789"/>
      <c r="Z3789"/>
      <c r="AA3789"/>
      <c r="AB3789"/>
      <c r="AC3789"/>
      <c r="AD3789"/>
    </row>
    <row r="3790" spans="6:30">
      <c r="F3790" s="578"/>
      <c r="G3790" s="578"/>
      <c r="H3790" s="578"/>
      <c r="I3790" s="580"/>
      <c r="J3790" s="581"/>
      <c r="K3790"/>
      <c r="L3790"/>
      <c r="M3790"/>
      <c r="N3790"/>
      <c r="O3790"/>
      <c r="P3790"/>
      <c r="Q3790"/>
      <c r="R3790"/>
      <c r="S3790"/>
      <c r="T3790"/>
      <c r="U3790"/>
      <c r="V3790"/>
      <c r="W3790"/>
      <c r="X3790"/>
      <c r="Y3790"/>
      <c r="Z3790"/>
      <c r="AA3790"/>
      <c r="AB3790"/>
      <c r="AC3790"/>
      <c r="AD3790"/>
    </row>
    <row r="3791" spans="6:30">
      <c r="F3791" s="578"/>
      <c r="G3791" s="578"/>
      <c r="H3791" s="578"/>
      <c r="I3791" s="580"/>
      <c r="J3791" s="581"/>
      <c r="K3791"/>
      <c r="L3791"/>
      <c r="M3791"/>
      <c r="N3791"/>
      <c r="O3791"/>
      <c r="P3791"/>
      <c r="Q3791"/>
      <c r="R3791"/>
      <c r="S3791"/>
      <c r="T3791"/>
      <c r="U3791"/>
      <c r="V3791"/>
      <c r="W3791"/>
      <c r="X3791"/>
      <c r="Y3791"/>
      <c r="Z3791"/>
      <c r="AA3791"/>
      <c r="AB3791"/>
      <c r="AC3791"/>
      <c r="AD3791"/>
    </row>
    <row r="3792" spans="6:30">
      <c r="F3792" s="578"/>
      <c r="G3792" s="578"/>
      <c r="H3792" s="578"/>
      <c r="I3792" s="580"/>
      <c r="J3792" s="581"/>
      <c r="K3792"/>
      <c r="L3792"/>
      <c r="M3792"/>
      <c r="N3792"/>
      <c r="O3792"/>
      <c r="P3792"/>
      <c r="Q3792"/>
      <c r="R3792"/>
      <c r="S3792"/>
      <c r="T3792"/>
      <c r="U3792"/>
      <c r="V3792"/>
      <c r="W3792"/>
      <c r="X3792"/>
      <c r="Y3792"/>
      <c r="Z3792"/>
      <c r="AA3792"/>
      <c r="AB3792"/>
      <c r="AC3792"/>
      <c r="AD3792"/>
    </row>
    <row r="3793" spans="6:30">
      <c r="F3793" s="578"/>
      <c r="G3793" s="578"/>
      <c r="H3793" s="578"/>
      <c r="I3793" s="580"/>
      <c r="J3793" s="581"/>
      <c r="K3793"/>
      <c r="L3793"/>
      <c r="M3793"/>
      <c r="N3793"/>
      <c r="O3793"/>
      <c r="P3793"/>
      <c r="Q3793"/>
      <c r="R3793"/>
      <c r="S3793"/>
      <c r="T3793"/>
      <c r="U3793"/>
      <c r="V3793"/>
      <c r="W3793"/>
      <c r="X3793"/>
      <c r="Y3793"/>
      <c r="Z3793"/>
      <c r="AA3793"/>
      <c r="AB3793"/>
      <c r="AC3793"/>
      <c r="AD3793"/>
    </row>
    <row r="3794" spans="6:30">
      <c r="F3794" s="578"/>
      <c r="G3794" s="578"/>
      <c r="H3794" s="578"/>
      <c r="I3794" s="580"/>
      <c r="J3794" s="581"/>
      <c r="K3794"/>
      <c r="L3794"/>
      <c r="M3794"/>
      <c r="N3794"/>
      <c r="O3794"/>
      <c r="P3794"/>
      <c r="Q3794"/>
      <c r="R3794"/>
      <c r="S3794"/>
      <c r="T3794"/>
      <c r="U3794"/>
      <c r="V3794"/>
      <c r="W3794"/>
      <c r="X3794"/>
      <c r="Y3794"/>
      <c r="Z3794"/>
      <c r="AA3794"/>
      <c r="AB3794"/>
      <c r="AC3794"/>
      <c r="AD3794"/>
    </row>
    <row r="3795" spans="6:30">
      <c r="F3795" s="578"/>
      <c r="G3795" s="578"/>
      <c r="H3795" s="578"/>
      <c r="I3795" s="580"/>
      <c r="J3795" s="581"/>
      <c r="K3795"/>
      <c r="L3795"/>
      <c r="M3795"/>
      <c r="N3795"/>
      <c r="O3795"/>
      <c r="P3795"/>
      <c r="Q3795"/>
      <c r="R3795"/>
      <c r="S3795"/>
      <c r="T3795"/>
      <c r="U3795"/>
      <c r="V3795"/>
      <c r="W3795"/>
      <c r="X3795"/>
      <c r="Y3795"/>
      <c r="Z3795"/>
      <c r="AA3795"/>
      <c r="AB3795"/>
      <c r="AC3795"/>
      <c r="AD3795"/>
    </row>
    <row r="3796" spans="6:30">
      <c r="F3796" s="578"/>
      <c r="G3796" s="578"/>
      <c r="H3796" s="578"/>
      <c r="I3796" s="580"/>
      <c r="J3796" s="581"/>
      <c r="K3796"/>
      <c r="L3796"/>
      <c r="M3796"/>
      <c r="N3796"/>
      <c r="O3796"/>
      <c r="P3796"/>
      <c r="Q3796"/>
      <c r="R3796"/>
      <c r="S3796"/>
      <c r="T3796"/>
      <c r="U3796"/>
      <c r="V3796"/>
      <c r="W3796"/>
      <c r="X3796"/>
      <c r="Y3796"/>
      <c r="Z3796"/>
      <c r="AA3796"/>
      <c r="AB3796"/>
      <c r="AC3796"/>
      <c r="AD3796"/>
    </row>
    <row r="3797" spans="6:30">
      <c r="F3797" s="578"/>
      <c r="G3797" s="578"/>
      <c r="H3797" s="578"/>
      <c r="I3797" s="580"/>
      <c r="J3797" s="581"/>
      <c r="K3797"/>
      <c r="L3797"/>
      <c r="M3797"/>
      <c r="N3797"/>
      <c r="O3797"/>
      <c r="P3797"/>
      <c r="Q3797"/>
      <c r="R3797"/>
      <c r="S3797"/>
      <c r="T3797"/>
      <c r="U3797"/>
      <c r="V3797"/>
      <c r="W3797"/>
      <c r="X3797"/>
      <c r="Y3797"/>
      <c r="Z3797"/>
      <c r="AA3797"/>
      <c r="AB3797"/>
      <c r="AC3797"/>
      <c r="AD3797"/>
    </row>
    <row r="3798" spans="6:30">
      <c r="F3798" s="578"/>
      <c r="G3798" s="578"/>
      <c r="H3798" s="578"/>
      <c r="I3798" s="580"/>
      <c r="J3798" s="581"/>
      <c r="K3798"/>
      <c r="L3798"/>
      <c r="M3798"/>
      <c r="N3798"/>
      <c r="O3798"/>
      <c r="P3798"/>
      <c r="Q3798"/>
      <c r="R3798"/>
      <c r="S3798"/>
      <c r="T3798"/>
      <c r="U3798"/>
      <c r="V3798"/>
      <c r="W3798"/>
      <c r="X3798"/>
      <c r="Y3798"/>
      <c r="Z3798"/>
      <c r="AA3798"/>
      <c r="AB3798"/>
      <c r="AC3798"/>
      <c r="AD3798"/>
    </row>
    <row r="3799" spans="6:30">
      <c r="F3799" s="578"/>
      <c r="G3799" s="578"/>
      <c r="H3799" s="578"/>
      <c r="I3799" s="580"/>
      <c r="J3799" s="581"/>
      <c r="K3799"/>
      <c r="L3799"/>
      <c r="M3799"/>
      <c r="N3799"/>
      <c r="O3799"/>
      <c r="P3799"/>
      <c r="Q3799"/>
      <c r="R3799"/>
      <c r="S3799"/>
      <c r="T3799"/>
      <c r="U3799"/>
      <c r="V3799"/>
      <c r="W3799"/>
      <c r="X3799"/>
      <c r="Y3799"/>
      <c r="Z3799"/>
      <c r="AA3799"/>
      <c r="AB3799"/>
      <c r="AC3799"/>
      <c r="AD3799"/>
    </row>
    <row r="3800" spans="6:30">
      <c r="F3800" s="578"/>
      <c r="G3800" s="578"/>
      <c r="H3800" s="578"/>
      <c r="I3800" s="580"/>
      <c r="J3800" s="581"/>
      <c r="K3800"/>
      <c r="L3800"/>
      <c r="M3800"/>
      <c r="N3800"/>
      <c r="O3800"/>
      <c r="P3800"/>
      <c r="Q3800"/>
      <c r="R3800"/>
      <c r="S3800"/>
      <c r="T3800"/>
      <c r="U3800"/>
      <c r="V3800"/>
      <c r="W3800"/>
      <c r="X3800"/>
      <c r="Y3800"/>
      <c r="Z3800"/>
      <c r="AA3800"/>
      <c r="AB3800"/>
      <c r="AC3800"/>
      <c r="AD3800"/>
    </row>
    <row r="3801" spans="6:30">
      <c r="F3801" s="578"/>
      <c r="G3801" s="578"/>
      <c r="H3801" s="578"/>
      <c r="I3801" s="580"/>
      <c r="J3801" s="581"/>
      <c r="K3801"/>
      <c r="L3801"/>
      <c r="M3801"/>
      <c r="N3801"/>
      <c r="O3801"/>
      <c r="P3801"/>
      <c r="Q3801"/>
      <c r="R3801"/>
      <c r="S3801"/>
      <c r="T3801"/>
      <c r="U3801"/>
      <c r="V3801"/>
      <c r="W3801"/>
      <c r="X3801"/>
      <c r="Y3801"/>
      <c r="Z3801"/>
      <c r="AA3801"/>
      <c r="AB3801"/>
      <c r="AC3801"/>
      <c r="AD3801"/>
    </row>
    <row r="3802" spans="6:30">
      <c r="F3802" s="578"/>
      <c r="G3802" s="578"/>
      <c r="H3802" s="578"/>
      <c r="I3802" s="580"/>
      <c r="J3802" s="581"/>
      <c r="K3802"/>
      <c r="L3802"/>
      <c r="M3802"/>
      <c r="N3802"/>
      <c r="O3802"/>
      <c r="P3802"/>
      <c r="Q3802"/>
      <c r="R3802"/>
      <c r="S3802"/>
      <c r="T3802"/>
      <c r="U3802"/>
      <c r="V3802"/>
      <c r="W3802"/>
      <c r="X3802"/>
      <c r="Y3802"/>
      <c r="Z3802"/>
      <c r="AA3802"/>
      <c r="AB3802"/>
      <c r="AC3802"/>
      <c r="AD3802"/>
    </row>
    <row r="3803" spans="6:30">
      <c r="F3803" s="578"/>
      <c r="G3803" s="578"/>
      <c r="H3803" s="578"/>
      <c r="I3803" s="580"/>
      <c r="J3803" s="581"/>
      <c r="K3803"/>
      <c r="L3803"/>
      <c r="M3803"/>
      <c r="N3803"/>
      <c r="O3803"/>
      <c r="P3803"/>
      <c r="Q3803"/>
      <c r="R3803"/>
      <c r="S3803"/>
      <c r="T3803"/>
      <c r="U3803"/>
      <c r="V3803"/>
      <c r="W3803"/>
      <c r="X3803"/>
      <c r="Y3803"/>
      <c r="Z3803"/>
      <c r="AA3803"/>
      <c r="AB3803"/>
      <c r="AC3803"/>
      <c r="AD3803"/>
    </row>
    <row r="3804" spans="6:30">
      <c r="F3804" s="578"/>
      <c r="G3804" s="578"/>
      <c r="H3804" s="578"/>
      <c r="I3804" s="580"/>
      <c r="J3804" s="581"/>
      <c r="K3804"/>
      <c r="L3804"/>
      <c r="M3804"/>
      <c r="N3804"/>
      <c r="O3804"/>
      <c r="P3804"/>
      <c r="Q3804"/>
      <c r="R3804"/>
      <c r="S3804"/>
      <c r="T3804"/>
      <c r="U3804"/>
      <c r="V3804"/>
      <c r="W3804"/>
      <c r="X3804"/>
      <c r="Y3804"/>
      <c r="Z3804"/>
      <c r="AA3804"/>
      <c r="AB3804"/>
      <c r="AC3804"/>
      <c r="AD3804"/>
    </row>
    <row r="3805" spans="6:30">
      <c r="F3805" s="578"/>
      <c r="G3805" s="578"/>
      <c r="H3805" s="578"/>
      <c r="I3805" s="580"/>
      <c r="J3805" s="581"/>
      <c r="K3805"/>
      <c r="L3805"/>
      <c r="M3805"/>
      <c r="N3805"/>
      <c r="O3805"/>
      <c r="P3805"/>
      <c r="Q3805"/>
      <c r="R3805"/>
      <c r="S3805"/>
      <c r="T3805"/>
      <c r="U3805"/>
      <c r="V3805"/>
      <c r="W3805"/>
      <c r="X3805"/>
      <c r="Y3805"/>
      <c r="Z3805"/>
      <c r="AA3805"/>
      <c r="AB3805"/>
      <c r="AC3805"/>
      <c r="AD3805"/>
    </row>
    <row r="3806" spans="6:30">
      <c r="F3806" s="578"/>
      <c r="G3806" s="578"/>
      <c r="H3806" s="578"/>
      <c r="I3806" s="580"/>
      <c r="J3806" s="581"/>
      <c r="K3806"/>
      <c r="L3806"/>
      <c r="M3806"/>
      <c r="N3806"/>
      <c r="O3806"/>
      <c r="P3806"/>
      <c r="Q3806"/>
      <c r="R3806"/>
      <c r="S3806"/>
      <c r="T3806"/>
      <c r="U3806"/>
      <c r="V3806"/>
      <c r="W3806"/>
      <c r="X3806"/>
      <c r="Y3806"/>
      <c r="Z3806"/>
      <c r="AA3806"/>
      <c r="AB3806"/>
      <c r="AC3806"/>
      <c r="AD3806"/>
    </row>
    <row r="3807" spans="6:30">
      <c r="F3807" s="578"/>
      <c r="G3807" s="578"/>
      <c r="H3807" s="578"/>
      <c r="I3807" s="580"/>
      <c r="J3807" s="581"/>
      <c r="K3807"/>
      <c r="L3807"/>
      <c r="M3807"/>
      <c r="N3807"/>
      <c r="O3807"/>
      <c r="P3807"/>
      <c r="Q3807"/>
      <c r="R3807"/>
      <c r="S3807"/>
      <c r="T3807"/>
      <c r="U3807"/>
      <c r="V3807"/>
      <c r="W3807"/>
      <c r="X3807"/>
      <c r="Y3807"/>
      <c r="Z3807"/>
      <c r="AA3807"/>
      <c r="AB3807"/>
      <c r="AC3807"/>
      <c r="AD3807"/>
    </row>
    <row r="3808" spans="6:30">
      <c r="F3808" s="578"/>
      <c r="G3808" s="578"/>
      <c r="H3808" s="578"/>
      <c r="I3808" s="580"/>
      <c r="J3808" s="581"/>
      <c r="K3808"/>
      <c r="L3808"/>
      <c r="M3808"/>
      <c r="N3808"/>
      <c r="O3808"/>
      <c r="P3808"/>
      <c r="Q3808"/>
      <c r="R3808"/>
      <c r="S3808"/>
      <c r="T3808"/>
      <c r="U3808"/>
      <c r="V3808"/>
      <c r="W3808"/>
      <c r="X3808"/>
      <c r="Y3808"/>
      <c r="Z3808"/>
      <c r="AA3808"/>
      <c r="AB3808"/>
      <c r="AC3808"/>
      <c r="AD3808"/>
    </row>
    <row r="3809" spans="6:30">
      <c r="F3809" s="578"/>
      <c r="G3809" s="578"/>
      <c r="H3809" s="578"/>
      <c r="I3809" s="580"/>
      <c r="J3809" s="581"/>
      <c r="K3809"/>
      <c r="L3809"/>
      <c r="M3809"/>
      <c r="N3809"/>
      <c r="O3809"/>
      <c r="P3809"/>
      <c r="Q3809"/>
      <c r="R3809"/>
      <c r="S3809"/>
      <c r="T3809"/>
      <c r="U3809"/>
      <c r="V3809"/>
      <c r="W3809"/>
      <c r="X3809"/>
      <c r="Y3809"/>
      <c r="Z3809"/>
      <c r="AA3809"/>
      <c r="AB3809"/>
      <c r="AC3809"/>
      <c r="AD3809"/>
    </row>
    <row r="3810" spans="6:30">
      <c r="F3810" s="578"/>
      <c r="G3810" s="578"/>
      <c r="H3810" s="578"/>
      <c r="I3810" s="580"/>
      <c r="J3810" s="581"/>
      <c r="K3810"/>
      <c r="L3810"/>
      <c r="M3810"/>
      <c r="N3810"/>
      <c r="O3810"/>
      <c r="P3810"/>
      <c r="Q3810"/>
      <c r="R3810"/>
      <c r="S3810"/>
      <c r="T3810"/>
      <c r="U3810"/>
      <c r="V3810"/>
      <c r="W3810"/>
      <c r="X3810"/>
      <c r="Y3810"/>
      <c r="Z3810"/>
      <c r="AA3810"/>
      <c r="AB3810"/>
      <c r="AC3810"/>
      <c r="AD3810"/>
    </row>
    <row r="3811" spans="6:30">
      <c r="F3811" s="578"/>
      <c r="G3811" s="578"/>
      <c r="H3811" s="578"/>
      <c r="I3811" s="580"/>
      <c r="J3811" s="581"/>
      <c r="K3811"/>
      <c r="L3811"/>
      <c r="M3811"/>
      <c r="N3811"/>
      <c r="O3811"/>
      <c r="P3811"/>
      <c r="Q3811"/>
      <c r="R3811"/>
      <c r="S3811"/>
      <c r="T3811"/>
      <c r="U3811"/>
      <c r="V3811"/>
      <c r="W3811"/>
      <c r="X3811"/>
      <c r="Y3811"/>
      <c r="Z3811"/>
      <c r="AA3811"/>
      <c r="AB3811"/>
      <c r="AC3811"/>
      <c r="AD3811"/>
    </row>
    <row r="3812" spans="6:30">
      <c r="F3812" s="578"/>
      <c r="G3812" s="578"/>
      <c r="H3812" s="578"/>
      <c r="I3812" s="580"/>
      <c r="J3812" s="581"/>
      <c r="K3812"/>
      <c r="L3812"/>
      <c r="M3812"/>
      <c r="N3812"/>
      <c r="O3812"/>
      <c r="P3812"/>
      <c r="Q3812"/>
      <c r="R3812"/>
      <c r="S3812"/>
      <c r="T3812"/>
      <c r="U3812"/>
      <c r="V3812"/>
      <c r="W3812"/>
      <c r="X3812"/>
      <c r="Y3812"/>
      <c r="Z3812"/>
      <c r="AA3812"/>
      <c r="AB3812"/>
      <c r="AC3812"/>
      <c r="AD3812"/>
    </row>
    <row r="3813" spans="6:30">
      <c r="F3813" s="578"/>
      <c r="G3813" s="578"/>
      <c r="H3813" s="578"/>
      <c r="I3813" s="580"/>
      <c r="J3813" s="581"/>
      <c r="K3813"/>
      <c r="L3813"/>
      <c r="M3813"/>
      <c r="N3813"/>
      <c r="O3813"/>
      <c r="P3813"/>
      <c r="Q3813"/>
      <c r="R3813"/>
      <c r="S3813"/>
      <c r="T3813"/>
      <c r="U3813"/>
      <c r="V3813"/>
      <c r="W3813"/>
      <c r="X3813"/>
      <c r="Y3813"/>
      <c r="Z3813"/>
      <c r="AA3813"/>
      <c r="AB3813"/>
      <c r="AC3813"/>
      <c r="AD3813"/>
    </row>
    <row r="3814" spans="6:30">
      <c r="F3814" s="578"/>
      <c r="G3814" s="578"/>
      <c r="H3814" s="578"/>
      <c r="I3814" s="580"/>
      <c r="J3814" s="581"/>
      <c r="K3814"/>
      <c r="L3814"/>
      <c r="M3814"/>
      <c r="N3814"/>
      <c r="O3814"/>
      <c r="P3814"/>
      <c r="Q3814"/>
      <c r="R3814"/>
      <c r="S3814"/>
      <c r="T3814"/>
      <c r="U3814"/>
      <c r="V3814"/>
      <c r="W3814"/>
      <c r="X3814"/>
      <c r="Y3814"/>
      <c r="Z3814"/>
      <c r="AA3814"/>
      <c r="AB3814"/>
      <c r="AC3814"/>
      <c r="AD3814"/>
    </row>
    <row r="3815" spans="6:30">
      <c r="F3815" s="578"/>
      <c r="G3815" s="578"/>
      <c r="H3815" s="578"/>
      <c r="I3815" s="580"/>
      <c r="J3815" s="581"/>
      <c r="K3815"/>
      <c r="L3815"/>
      <c r="M3815"/>
      <c r="N3815"/>
      <c r="O3815"/>
      <c r="P3815"/>
      <c r="Q3815"/>
      <c r="R3815"/>
      <c r="S3815"/>
      <c r="T3815"/>
      <c r="U3815"/>
      <c r="V3815"/>
      <c r="W3815"/>
      <c r="X3815"/>
      <c r="Y3815"/>
      <c r="Z3815"/>
      <c r="AA3815"/>
      <c r="AB3815"/>
      <c r="AC3815"/>
      <c r="AD3815"/>
    </row>
    <row r="3816" spans="6:30">
      <c r="F3816" s="578"/>
      <c r="G3816" s="578"/>
      <c r="H3816" s="578"/>
      <c r="I3816" s="580"/>
      <c r="J3816" s="581"/>
      <c r="K3816"/>
      <c r="L3816"/>
      <c r="M3816"/>
      <c r="N3816"/>
      <c r="O3816"/>
      <c r="P3816"/>
      <c r="Q3816"/>
      <c r="R3816"/>
      <c r="S3816"/>
      <c r="T3816"/>
      <c r="U3816"/>
      <c r="V3816"/>
      <c r="W3816"/>
      <c r="X3816"/>
      <c r="Y3816"/>
      <c r="Z3816"/>
      <c r="AA3816"/>
      <c r="AB3816"/>
      <c r="AC3816"/>
      <c r="AD3816"/>
    </row>
    <row r="3817" spans="6:30">
      <c r="F3817" s="578"/>
      <c r="G3817" s="578"/>
      <c r="H3817" s="578"/>
      <c r="I3817" s="580"/>
      <c r="J3817" s="581"/>
      <c r="K3817"/>
      <c r="L3817"/>
      <c r="M3817"/>
      <c r="N3817"/>
      <c r="O3817"/>
      <c r="P3817"/>
      <c r="Q3817"/>
      <c r="R3817"/>
      <c r="S3817"/>
      <c r="T3817"/>
      <c r="U3817"/>
      <c r="V3817"/>
      <c r="W3817"/>
      <c r="X3817"/>
      <c r="Y3817"/>
      <c r="Z3817"/>
      <c r="AA3817"/>
      <c r="AB3817"/>
      <c r="AC3817"/>
      <c r="AD3817"/>
    </row>
    <row r="3818" spans="6:30">
      <c r="F3818" s="578"/>
      <c r="G3818" s="578"/>
      <c r="H3818" s="578"/>
      <c r="I3818" s="580"/>
      <c r="J3818" s="581"/>
      <c r="K3818"/>
      <c r="L3818"/>
      <c r="M3818"/>
      <c r="N3818"/>
      <c r="O3818"/>
      <c r="P3818"/>
      <c r="Q3818"/>
      <c r="R3818"/>
      <c r="S3818"/>
      <c r="T3818"/>
      <c r="U3818"/>
      <c r="V3818"/>
      <c r="W3818"/>
      <c r="X3818"/>
      <c r="Y3818"/>
      <c r="Z3818"/>
      <c r="AA3818"/>
      <c r="AB3818"/>
      <c r="AC3818"/>
      <c r="AD3818"/>
    </row>
    <row r="3819" spans="6:30">
      <c r="F3819" s="578"/>
      <c r="G3819" s="578"/>
      <c r="H3819" s="578"/>
      <c r="I3819" s="580"/>
      <c r="J3819" s="581"/>
      <c r="K3819"/>
      <c r="L3819"/>
      <c r="M3819"/>
      <c r="N3819"/>
      <c r="O3819"/>
      <c r="P3819"/>
      <c r="Q3819"/>
      <c r="R3819"/>
      <c r="S3819"/>
      <c r="T3819"/>
      <c r="U3819"/>
      <c r="V3819"/>
      <c r="W3819"/>
      <c r="X3819"/>
      <c r="Y3819"/>
      <c r="Z3819"/>
      <c r="AA3819"/>
      <c r="AB3819"/>
      <c r="AC3819"/>
      <c r="AD3819"/>
    </row>
    <row r="3820" spans="6:30">
      <c r="F3820" s="578"/>
      <c r="G3820" s="578"/>
      <c r="H3820" s="578"/>
      <c r="I3820" s="580"/>
      <c r="J3820" s="581"/>
      <c r="K3820"/>
      <c r="L3820"/>
      <c r="M3820"/>
      <c r="N3820"/>
      <c r="O3820"/>
      <c r="P3820"/>
      <c r="Q3820"/>
      <c r="R3820"/>
      <c r="S3820"/>
      <c r="T3820"/>
      <c r="U3820"/>
      <c r="V3820"/>
      <c r="W3820"/>
      <c r="X3820"/>
      <c r="Y3820"/>
      <c r="Z3820"/>
      <c r="AA3820"/>
      <c r="AB3820"/>
      <c r="AC3820"/>
      <c r="AD3820"/>
    </row>
    <row r="3821" spans="6:30">
      <c r="F3821" s="578"/>
      <c r="G3821" s="578"/>
      <c r="H3821" s="578"/>
      <c r="I3821" s="580"/>
      <c r="J3821" s="581"/>
      <c r="K3821"/>
      <c r="L3821"/>
      <c r="M3821"/>
      <c r="N3821"/>
      <c r="O3821"/>
      <c r="P3821"/>
      <c r="Q3821"/>
      <c r="R3821"/>
      <c r="S3821"/>
      <c r="T3821"/>
      <c r="U3821"/>
      <c r="V3821"/>
      <c r="W3821"/>
      <c r="X3821"/>
      <c r="Y3821"/>
      <c r="Z3821"/>
      <c r="AA3821"/>
      <c r="AB3821"/>
      <c r="AC3821"/>
      <c r="AD3821"/>
    </row>
    <row r="3822" spans="6:30">
      <c r="F3822" s="578"/>
      <c r="G3822" s="578"/>
      <c r="H3822" s="578"/>
      <c r="I3822" s="580"/>
      <c r="J3822" s="581"/>
      <c r="K3822"/>
      <c r="L3822"/>
      <c r="M3822"/>
      <c r="N3822"/>
      <c r="O3822"/>
      <c r="P3822"/>
      <c r="Q3822"/>
      <c r="R3822"/>
      <c r="S3822"/>
      <c r="T3822"/>
      <c r="U3822"/>
      <c r="V3822"/>
      <c r="W3822"/>
      <c r="X3822"/>
      <c r="Y3822"/>
      <c r="Z3822"/>
      <c r="AA3822"/>
      <c r="AB3822"/>
      <c r="AC3822"/>
      <c r="AD3822"/>
    </row>
    <row r="3823" spans="6:30">
      <c r="F3823" s="578"/>
      <c r="G3823" s="578"/>
      <c r="H3823" s="578"/>
      <c r="I3823" s="580"/>
      <c r="J3823" s="581"/>
      <c r="K3823"/>
      <c r="L3823"/>
      <c r="M3823"/>
      <c r="N3823"/>
      <c r="O3823"/>
      <c r="P3823"/>
      <c r="Q3823"/>
      <c r="R3823"/>
      <c r="S3823"/>
      <c r="T3823"/>
      <c r="U3823"/>
      <c r="V3823"/>
      <c r="W3823"/>
      <c r="X3823"/>
      <c r="Y3823"/>
      <c r="Z3823"/>
      <c r="AA3823"/>
      <c r="AB3823"/>
      <c r="AC3823"/>
      <c r="AD3823"/>
    </row>
    <row r="3824" spans="6:30">
      <c r="F3824" s="578"/>
      <c r="G3824" s="578"/>
      <c r="H3824" s="578"/>
      <c r="I3824" s="580"/>
      <c r="J3824" s="581"/>
      <c r="K3824"/>
      <c r="L3824"/>
      <c r="M3824"/>
      <c r="N3824"/>
      <c r="O3824"/>
      <c r="P3824"/>
      <c r="Q3824"/>
      <c r="R3824"/>
      <c r="S3824"/>
      <c r="T3824"/>
      <c r="U3824"/>
      <c r="V3824"/>
      <c r="W3824"/>
      <c r="X3824"/>
      <c r="Y3824"/>
      <c r="Z3824"/>
      <c r="AA3824"/>
      <c r="AB3824"/>
      <c r="AC3824"/>
      <c r="AD3824"/>
    </row>
    <row r="3825" spans="6:30">
      <c r="F3825" s="578"/>
      <c r="G3825" s="578"/>
      <c r="H3825" s="578"/>
      <c r="I3825" s="580"/>
      <c r="J3825" s="581"/>
      <c r="K3825"/>
      <c r="L3825"/>
      <c r="M3825"/>
      <c r="N3825"/>
      <c r="O3825"/>
      <c r="P3825"/>
      <c r="Q3825"/>
      <c r="R3825"/>
      <c r="S3825"/>
      <c r="T3825"/>
      <c r="U3825"/>
      <c r="V3825"/>
      <c r="W3825"/>
      <c r="X3825"/>
      <c r="Y3825"/>
      <c r="Z3825"/>
      <c r="AA3825"/>
      <c r="AB3825"/>
      <c r="AC3825"/>
      <c r="AD3825"/>
    </row>
    <row r="3826" spans="6:30">
      <c r="F3826" s="578"/>
      <c r="G3826" s="578"/>
      <c r="H3826" s="578"/>
      <c r="I3826" s="580"/>
      <c r="J3826" s="581"/>
      <c r="K3826"/>
      <c r="L3826"/>
      <c r="M3826"/>
      <c r="N3826"/>
      <c r="O3826"/>
      <c r="P3826"/>
      <c r="Q3826"/>
      <c r="R3826"/>
      <c r="S3826"/>
      <c r="T3826"/>
      <c r="U3826"/>
      <c r="V3826"/>
      <c r="W3826"/>
      <c r="X3826"/>
      <c r="Y3826"/>
      <c r="Z3826"/>
      <c r="AA3826"/>
      <c r="AB3826"/>
      <c r="AC3826"/>
      <c r="AD3826"/>
    </row>
    <row r="3827" spans="6:30">
      <c r="F3827" s="578"/>
      <c r="G3827" s="578"/>
      <c r="H3827" s="578"/>
      <c r="I3827" s="580"/>
      <c r="J3827" s="581"/>
      <c r="K3827"/>
      <c r="L3827"/>
      <c r="M3827"/>
      <c r="N3827"/>
      <c r="O3827"/>
      <c r="P3827"/>
      <c r="Q3827"/>
      <c r="R3827"/>
      <c r="S3827"/>
      <c r="T3827"/>
      <c r="U3827"/>
      <c r="V3827"/>
      <c r="W3827"/>
      <c r="X3827"/>
      <c r="Y3827"/>
      <c r="Z3827"/>
      <c r="AA3827"/>
      <c r="AB3827"/>
      <c r="AC3827"/>
      <c r="AD3827"/>
    </row>
    <row r="3828" spans="6:30">
      <c r="F3828" s="578"/>
      <c r="G3828" s="578"/>
      <c r="H3828" s="578"/>
      <c r="I3828" s="580"/>
      <c r="J3828" s="581"/>
      <c r="K3828"/>
      <c r="L3828"/>
      <c r="M3828"/>
      <c r="N3828"/>
      <c r="O3828"/>
      <c r="P3828"/>
      <c r="Q3828"/>
      <c r="R3828"/>
      <c r="S3828"/>
      <c r="T3828"/>
      <c r="U3828"/>
      <c r="V3828"/>
      <c r="W3828"/>
      <c r="X3828"/>
      <c r="Y3828"/>
      <c r="Z3828"/>
      <c r="AA3828"/>
      <c r="AB3828"/>
      <c r="AC3828"/>
      <c r="AD3828"/>
    </row>
    <row r="3829" spans="6:30">
      <c r="F3829" s="578"/>
      <c r="G3829" s="578"/>
      <c r="H3829" s="578"/>
      <c r="I3829" s="580"/>
      <c r="J3829" s="581"/>
      <c r="K3829"/>
      <c r="L3829"/>
      <c r="M3829"/>
      <c r="N3829"/>
      <c r="O3829"/>
      <c r="P3829"/>
      <c r="Q3829"/>
      <c r="R3829"/>
      <c r="S3829"/>
      <c r="T3829"/>
      <c r="U3829"/>
      <c r="V3829"/>
      <c r="W3829"/>
      <c r="X3829"/>
      <c r="Y3829"/>
      <c r="Z3829"/>
      <c r="AA3829"/>
      <c r="AB3829"/>
      <c r="AC3829"/>
      <c r="AD3829"/>
    </row>
    <row r="3830" spans="6:30">
      <c r="F3830" s="578"/>
      <c r="G3830" s="578"/>
      <c r="H3830" s="578"/>
      <c r="I3830" s="580"/>
      <c r="J3830" s="581"/>
      <c r="K3830"/>
      <c r="L3830"/>
      <c r="M3830"/>
      <c r="N3830"/>
      <c r="O3830"/>
      <c r="P3830"/>
      <c r="Q3830"/>
      <c r="R3830"/>
      <c r="S3830"/>
      <c r="T3830"/>
      <c r="U3830"/>
      <c r="V3830"/>
      <c r="W3830"/>
      <c r="X3830"/>
      <c r="Y3830"/>
      <c r="Z3830"/>
      <c r="AA3830"/>
      <c r="AB3830"/>
      <c r="AC3830"/>
      <c r="AD3830"/>
    </row>
    <row r="3831" spans="6:30">
      <c r="F3831" s="578"/>
      <c r="G3831" s="578"/>
      <c r="H3831" s="578"/>
      <c r="I3831" s="580"/>
      <c r="J3831" s="581"/>
      <c r="K3831"/>
      <c r="L3831"/>
      <c r="M3831"/>
      <c r="N3831"/>
      <c r="O3831"/>
      <c r="P3831"/>
      <c r="Q3831"/>
      <c r="R3831"/>
      <c r="S3831"/>
      <c r="T3831"/>
      <c r="U3831"/>
      <c r="V3831"/>
      <c r="W3831"/>
      <c r="X3831"/>
      <c r="Y3831"/>
      <c r="Z3831"/>
      <c r="AA3831"/>
      <c r="AB3831"/>
      <c r="AC3831"/>
      <c r="AD3831"/>
    </row>
    <row r="3832" spans="6:30">
      <c r="F3832" s="578"/>
      <c r="G3832" s="578"/>
      <c r="H3832" s="578"/>
      <c r="I3832" s="580"/>
      <c r="J3832" s="581"/>
      <c r="K3832"/>
      <c r="L3832"/>
      <c r="M3832"/>
      <c r="N3832"/>
      <c r="O3832"/>
      <c r="P3832"/>
      <c r="Q3832"/>
      <c r="R3832"/>
      <c r="S3832"/>
      <c r="T3832"/>
      <c r="U3832"/>
      <c r="V3832"/>
      <c r="W3832"/>
      <c r="X3832"/>
      <c r="Y3832"/>
      <c r="Z3832"/>
      <c r="AA3832"/>
      <c r="AB3832"/>
      <c r="AC3832"/>
      <c r="AD3832"/>
    </row>
    <row r="3833" spans="6:30">
      <c r="F3833" s="578"/>
      <c r="G3833" s="578"/>
      <c r="H3833" s="578"/>
      <c r="I3833" s="580"/>
      <c r="J3833" s="581"/>
      <c r="K3833"/>
      <c r="L3833"/>
      <c r="M3833"/>
      <c r="N3833"/>
      <c r="O3833"/>
      <c r="P3833"/>
      <c r="Q3833"/>
      <c r="R3833"/>
      <c r="S3833"/>
      <c r="T3833"/>
      <c r="U3833"/>
      <c r="V3833"/>
      <c r="W3833"/>
      <c r="X3833"/>
      <c r="Y3833"/>
      <c r="Z3833"/>
      <c r="AA3833"/>
      <c r="AB3833"/>
      <c r="AC3833"/>
      <c r="AD3833"/>
    </row>
    <row r="3834" spans="6:30">
      <c r="F3834" s="578"/>
      <c r="G3834" s="578"/>
      <c r="H3834" s="578"/>
      <c r="I3834" s="580"/>
      <c r="J3834" s="581"/>
      <c r="K3834"/>
      <c r="L3834"/>
      <c r="M3834"/>
      <c r="N3834"/>
      <c r="O3834"/>
      <c r="P3834"/>
      <c r="Q3834"/>
      <c r="R3834"/>
      <c r="S3834"/>
      <c r="T3834"/>
      <c r="U3834"/>
      <c r="V3834"/>
      <c r="W3834"/>
      <c r="X3834"/>
      <c r="Y3834"/>
      <c r="Z3834"/>
      <c r="AA3834"/>
      <c r="AB3834"/>
      <c r="AC3834"/>
      <c r="AD3834"/>
    </row>
    <row r="3835" spans="6:30">
      <c r="F3835" s="578"/>
      <c r="G3835" s="578"/>
      <c r="H3835" s="578"/>
      <c r="I3835" s="580"/>
      <c r="J3835" s="581"/>
      <c r="K3835"/>
      <c r="L3835"/>
      <c r="M3835"/>
      <c r="N3835"/>
      <c r="O3835"/>
      <c r="P3835"/>
      <c r="Q3835"/>
      <c r="R3835"/>
      <c r="S3835"/>
      <c r="T3835"/>
      <c r="U3835"/>
      <c r="V3835"/>
      <c r="W3835"/>
      <c r="X3835"/>
      <c r="Y3835"/>
      <c r="Z3835"/>
      <c r="AA3835"/>
      <c r="AB3835"/>
      <c r="AC3835"/>
      <c r="AD3835"/>
    </row>
    <row r="3836" spans="6:30">
      <c r="F3836" s="578"/>
      <c r="G3836" s="578"/>
      <c r="H3836" s="578"/>
      <c r="I3836" s="580"/>
      <c r="J3836" s="581"/>
      <c r="K3836"/>
      <c r="L3836"/>
      <c r="M3836"/>
      <c r="N3836"/>
      <c r="O3836"/>
      <c r="P3836"/>
      <c r="Q3836"/>
      <c r="R3836"/>
      <c r="S3836"/>
      <c r="T3836"/>
      <c r="U3836"/>
      <c r="V3836"/>
      <c r="W3836"/>
      <c r="X3836"/>
      <c r="Y3836"/>
      <c r="Z3836"/>
      <c r="AA3836"/>
      <c r="AB3836"/>
      <c r="AC3836"/>
      <c r="AD3836"/>
    </row>
    <row r="3837" spans="6:30">
      <c r="F3837" s="578"/>
      <c r="G3837" s="578"/>
      <c r="H3837" s="578"/>
      <c r="I3837" s="580"/>
      <c r="J3837" s="581"/>
      <c r="K3837"/>
      <c r="L3837"/>
      <c r="M3837"/>
      <c r="N3837"/>
      <c r="O3837"/>
      <c r="P3837"/>
      <c r="Q3837"/>
      <c r="R3837"/>
      <c r="S3837"/>
      <c r="T3837"/>
      <c r="U3837"/>
      <c r="V3837"/>
      <c r="W3837"/>
      <c r="X3837"/>
      <c r="Y3837"/>
      <c r="Z3837"/>
      <c r="AA3837"/>
      <c r="AB3837"/>
      <c r="AC3837"/>
      <c r="AD3837"/>
    </row>
    <row r="3838" spans="6:30">
      <c r="F3838" s="578"/>
      <c r="G3838" s="578"/>
      <c r="H3838" s="578"/>
      <c r="I3838" s="580"/>
      <c r="J3838" s="581"/>
      <c r="K3838"/>
      <c r="L3838"/>
      <c r="M3838"/>
      <c r="N3838"/>
      <c r="O3838"/>
      <c r="P3838"/>
      <c r="Q3838"/>
      <c r="R3838"/>
      <c r="S3838"/>
      <c r="T3838"/>
      <c r="U3838"/>
      <c r="V3838"/>
      <c r="W3838"/>
      <c r="X3838"/>
      <c r="Y3838"/>
      <c r="Z3838"/>
      <c r="AA3838"/>
      <c r="AB3838"/>
      <c r="AC3838"/>
      <c r="AD3838"/>
    </row>
    <row r="3839" spans="6:30">
      <c r="F3839" s="578"/>
      <c r="G3839" s="578"/>
      <c r="H3839" s="578"/>
      <c r="I3839" s="580"/>
      <c r="J3839" s="581"/>
      <c r="K3839"/>
      <c r="L3839"/>
      <c r="M3839"/>
      <c r="N3839"/>
      <c r="O3839"/>
      <c r="P3839"/>
      <c r="Q3839"/>
      <c r="R3839"/>
      <c r="S3839"/>
      <c r="T3839"/>
      <c r="U3839"/>
      <c r="V3839"/>
      <c r="W3839"/>
      <c r="X3839"/>
      <c r="Y3839"/>
      <c r="Z3839"/>
      <c r="AA3839"/>
      <c r="AB3839"/>
      <c r="AC3839"/>
      <c r="AD3839"/>
    </row>
    <row r="3840" spans="6:30">
      <c r="F3840" s="578"/>
      <c r="G3840" s="578"/>
      <c r="H3840" s="578"/>
      <c r="I3840" s="580"/>
      <c r="J3840" s="581"/>
      <c r="K3840"/>
      <c r="L3840"/>
      <c r="M3840"/>
      <c r="N3840"/>
      <c r="O3840"/>
      <c r="P3840"/>
      <c r="Q3840"/>
      <c r="R3840"/>
      <c r="S3840"/>
      <c r="T3840"/>
      <c r="U3840"/>
      <c r="V3840"/>
      <c r="W3840"/>
      <c r="X3840"/>
      <c r="Y3840"/>
      <c r="Z3840"/>
      <c r="AA3840"/>
      <c r="AB3840"/>
      <c r="AC3840"/>
      <c r="AD3840"/>
    </row>
    <row r="3841" spans="6:30">
      <c r="F3841" s="578"/>
      <c r="G3841" s="578"/>
      <c r="H3841" s="578"/>
      <c r="I3841" s="580"/>
      <c r="J3841" s="581"/>
      <c r="K3841"/>
      <c r="L3841"/>
      <c r="M3841"/>
      <c r="N3841"/>
      <c r="O3841"/>
      <c r="P3841"/>
      <c r="Q3841"/>
      <c r="R3841"/>
      <c r="S3841"/>
      <c r="T3841"/>
      <c r="U3841"/>
      <c r="V3841"/>
      <c r="W3841"/>
      <c r="X3841"/>
      <c r="Y3841"/>
      <c r="Z3841"/>
      <c r="AA3841"/>
      <c r="AB3841"/>
      <c r="AC3841"/>
      <c r="AD3841"/>
    </row>
    <row r="3842" spans="6:30">
      <c r="F3842" s="578"/>
      <c r="G3842" s="578"/>
      <c r="H3842" s="578"/>
      <c r="I3842" s="580"/>
      <c r="J3842" s="581"/>
      <c r="K3842"/>
      <c r="L3842"/>
      <c r="M3842"/>
      <c r="N3842"/>
      <c r="O3842"/>
      <c r="P3842"/>
      <c r="Q3842"/>
      <c r="R3842"/>
      <c r="S3842"/>
      <c r="T3842"/>
      <c r="U3842"/>
      <c r="V3842"/>
      <c r="W3842"/>
      <c r="X3842"/>
      <c r="Y3842"/>
      <c r="Z3842"/>
      <c r="AA3842"/>
      <c r="AB3842"/>
      <c r="AC3842"/>
      <c r="AD3842"/>
    </row>
  </sheetData>
  <mergeCells count="80">
    <mergeCell ref="G413:H413"/>
    <mergeCell ref="G414:H414"/>
    <mergeCell ref="G922:H922"/>
    <mergeCell ref="G946:H946"/>
    <mergeCell ref="G947:H947"/>
    <mergeCell ref="G919:H919"/>
    <mergeCell ref="G920:H920"/>
    <mergeCell ref="G555:H555"/>
    <mergeCell ref="G736:H736"/>
    <mergeCell ref="A1:J1"/>
    <mergeCell ref="A2:J2"/>
    <mergeCell ref="I5:I6"/>
    <mergeCell ref="J5:J6"/>
    <mergeCell ref="A3:J3"/>
    <mergeCell ref="A4:J4"/>
    <mergeCell ref="A5:A6"/>
    <mergeCell ref="B5:B6"/>
    <mergeCell ref="C5:E6"/>
    <mergeCell ref="F5:H5"/>
    <mergeCell ref="G3655:H3655"/>
    <mergeCell ref="G3664:H3664"/>
    <mergeCell ref="G2736:H2736"/>
    <mergeCell ref="G3406:H3406"/>
    <mergeCell ref="G3407:H3407"/>
    <mergeCell ref="G2864:H2864"/>
    <mergeCell ref="G2859:H2859"/>
    <mergeCell ref="G3401:H3401"/>
    <mergeCell ref="G3130:H3130"/>
    <mergeCell ref="G3247:H3247"/>
    <mergeCell ref="G3465:H3465"/>
    <mergeCell ref="G3470:H3470"/>
    <mergeCell ref="G3464:H3464"/>
    <mergeCell ref="G1398:H1398"/>
    <mergeCell ref="G1109:H1109"/>
    <mergeCell ref="G1110:H1110"/>
    <mergeCell ref="G3700:J3700"/>
    <mergeCell ref="G3701:J3701"/>
    <mergeCell ref="G3618:H3618"/>
    <mergeCell ref="G3274:H3274"/>
    <mergeCell ref="G3409:H3409"/>
    <mergeCell ref="G3579:H3579"/>
    <mergeCell ref="G3580:H3580"/>
    <mergeCell ref="G3399:H3399"/>
    <mergeCell ref="G3338:H3338"/>
    <mergeCell ref="G3398:H3398"/>
    <mergeCell ref="G3342:H3342"/>
    <mergeCell ref="G3343:H3343"/>
    <mergeCell ref="G2737:H2737"/>
    <mergeCell ref="G998:H998"/>
    <mergeCell ref="G999:H999"/>
    <mergeCell ref="G1632:H1632"/>
    <mergeCell ref="G1042:H1042"/>
    <mergeCell ref="G1043:H1043"/>
    <mergeCell ref="G1087:H1087"/>
    <mergeCell ref="G1615:H1615"/>
    <mergeCell ref="G1613:H1613"/>
    <mergeCell ref="G1074:H1074"/>
    <mergeCell ref="G1075:H1075"/>
    <mergeCell ref="G1003:H1003"/>
    <mergeCell ref="G1004:H1004"/>
    <mergeCell ref="G1079:H1079"/>
    <mergeCell ref="G1088:H1088"/>
    <mergeCell ref="G1614:H1614"/>
    <mergeCell ref="G1515:H1515"/>
    <mergeCell ref="G1631:H1631"/>
    <mergeCell ref="G3575:H3575"/>
    <mergeCell ref="G3408:H3408"/>
    <mergeCell ref="G3275:H3275"/>
    <mergeCell ref="G3276:H3276"/>
    <mergeCell ref="G3400:H3400"/>
    <mergeCell ref="G1953:H1953"/>
    <mergeCell ref="G1954:H1954"/>
    <mergeCell ref="G2015:H2015"/>
    <mergeCell ref="G1926:H1926"/>
    <mergeCell ref="G3471:H3471"/>
    <mergeCell ref="G1854:H1854"/>
    <mergeCell ref="G1751:H1751"/>
    <mergeCell ref="G3504:H3504"/>
    <mergeCell ref="G3571:H3571"/>
    <mergeCell ref="G3449:H3449"/>
  </mergeCells>
  <printOptions horizontalCentered="1"/>
  <pageMargins left="0.17" right="0.24" top="0.64" bottom="0.52" header="0.64" footer="0.56000000000000005"/>
  <pageSetup paperSize="9" scale="76" orientation="portrait" errors="blank" verticalDpi="300" r:id="rId1"/>
  <headerFooter>
    <oddHeader>&amp;C88in1&amp;R&amp;P</oddHeader>
  </headerFooter>
</worksheet>
</file>

<file path=xl/worksheets/sheet2.xml><?xml version="1.0" encoding="utf-8"?>
<worksheet xmlns="http://schemas.openxmlformats.org/spreadsheetml/2006/main" xmlns:r="http://schemas.openxmlformats.org/officeDocument/2006/relationships">
  <dimension ref="A3:D30"/>
  <sheetViews>
    <sheetView view="pageBreakPreview" topLeftCell="A13" zoomScaleSheetLayoutView="100" workbookViewId="0">
      <selection activeCell="J29" sqref="J29"/>
    </sheetView>
  </sheetViews>
  <sheetFormatPr defaultRowHeight="15.75"/>
  <cols>
    <col min="2" max="2" width="36.44140625" customWidth="1"/>
  </cols>
  <sheetData>
    <row r="3" spans="1:4">
      <c r="A3" s="617" t="s">
        <v>998</v>
      </c>
      <c r="B3" s="617"/>
      <c r="C3" s="617"/>
      <c r="D3" s="617"/>
    </row>
    <row r="4" spans="1:4">
      <c r="B4" s="33"/>
      <c r="C4" s="33"/>
      <c r="D4" s="33"/>
    </row>
    <row r="5" spans="1:4">
      <c r="B5" s="33" t="s">
        <v>999</v>
      </c>
      <c r="C5" s="168">
        <v>100</v>
      </c>
      <c r="D5" s="33" t="s">
        <v>6</v>
      </c>
    </row>
    <row r="6" spans="1:4">
      <c r="B6" s="33"/>
      <c r="C6" s="33"/>
      <c r="D6" s="33"/>
    </row>
    <row r="7" spans="1:4">
      <c r="B7" s="33" t="s">
        <v>1000</v>
      </c>
      <c r="C7" s="168">
        <v>5</v>
      </c>
      <c r="D7" s="33" t="s">
        <v>6</v>
      </c>
    </row>
    <row r="8" spans="1:4">
      <c r="B8" s="33"/>
      <c r="C8" s="33"/>
      <c r="D8" s="33"/>
    </row>
    <row r="9" spans="1:4">
      <c r="B9" s="33" t="s">
        <v>1001</v>
      </c>
      <c r="C9" s="168">
        <v>135</v>
      </c>
      <c r="D9" s="33" t="s">
        <v>1002</v>
      </c>
    </row>
    <row r="10" spans="1:4">
      <c r="B10" s="33"/>
      <c r="C10" s="33"/>
      <c r="D10" s="33"/>
    </row>
    <row r="11" spans="1:4">
      <c r="B11" s="33" t="s">
        <v>1003</v>
      </c>
      <c r="C11" s="168">
        <f>C5*C7*C9</f>
        <v>67500</v>
      </c>
      <c r="D11" s="33" t="s">
        <v>1002</v>
      </c>
    </row>
    <row r="12" spans="1:4">
      <c r="B12" s="33"/>
      <c r="C12" s="33"/>
      <c r="D12" s="33"/>
    </row>
    <row r="13" spans="1:4">
      <c r="B13" s="33" t="s">
        <v>1004</v>
      </c>
      <c r="C13" s="168">
        <f>C11*1.5</f>
        <v>101250</v>
      </c>
      <c r="D13" s="33" t="s">
        <v>1002</v>
      </c>
    </row>
    <row r="14" spans="1:4">
      <c r="B14" s="169" t="s">
        <v>84</v>
      </c>
      <c r="C14" s="170">
        <f>C13</f>
        <v>101250</v>
      </c>
      <c r="D14" s="171" t="s">
        <v>1002</v>
      </c>
    </row>
    <row r="15" spans="1:4">
      <c r="B15" s="33"/>
      <c r="C15" s="33"/>
      <c r="D15" s="33"/>
    </row>
    <row r="16" spans="1:4">
      <c r="B16" s="33" t="s">
        <v>1005</v>
      </c>
      <c r="C16" s="33">
        <v>3</v>
      </c>
      <c r="D16" s="33" t="s">
        <v>46</v>
      </c>
    </row>
    <row r="17" spans="2:4">
      <c r="B17" s="33"/>
      <c r="C17" s="33"/>
      <c r="D17" s="33"/>
    </row>
    <row r="18" spans="2:4">
      <c r="B18" s="33" t="s">
        <v>1006</v>
      </c>
      <c r="C18" s="33">
        <f>3.14*8*4.1</f>
        <v>102.99</v>
      </c>
      <c r="D18" s="33" t="s">
        <v>1007</v>
      </c>
    </row>
    <row r="19" spans="2:4">
      <c r="B19" s="33"/>
      <c r="C19" s="33"/>
      <c r="D19" s="33"/>
    </row>
    <row r="20" spans="2:4">
      <c r="B20" s="33"/>
      <c r="C20" s="33"/>
      <c r="D20" s="33"/>
    </row>
    <row r="21" spans="2:4">
      <c r="B21" s="33" t="s">
        <v>1008</v>
      </c>
      <c r="C21" s="33"/>
      <c r="D21" s="33"/>
    </row>
    <row r="22" spans="2:4">
      <c r="B22" s="33"/>
      <c r="C22" s="33"/>
      <c r="D22" s="33"/>
    </row>
    <row r="23" spans="2:4" ht="16.5">
      <c r="B23" s="33" t="s">
        <v>1009</v>
      </c>
      <c r="C23" s="33">
        <f>G23</f>
        <v>0</v>
      </c>
      <c r="D23" s="33" t="s">
        <v>1010</v>
      </c>
    </row>
    <row r="24" spans="2:4">
      <c r="B24" s="33"/>
      <c r="C24" s="33"/>
      <c r="D24" s="33"/>
    </row>
    <row r="25" spans="2:4" ht="16.5">
      <c r="B25" s="33" t="s">
        <v>1011</v>
      </c>
      <c r="C25" s="33">
        <f>C23</f>
        <v>0</v>
      </c>
      <c r="D25" s="33" t="s">
        <v>1010</v>
      </c>
    </row>
    <row r="26" spans="2:4">
      <c r="B26" s="33"/>
      <c r="C26" s="33"/>
      <c r="D26" s="33"/>
    </row>
    <row r="27" spans="2:4">
      <c r="B27" s="33" t="s">
        <v>1012</v>
      </c>
      <c r="C27" s="33">
        <f>C25*1000</f>
        <v>0</v>
      </c>
      <c r="D27" s="33" t="s">
        <v>1002</v>
      </c>
    </row>
    <row r="28" spans="2:4">
      <c r="B28" s="33"/>
      <c r="C28" s="33"/>
      <c r="D28" s="33"/>
    </row>
    <row r="29" spans="2:4">
      <c r="B29" s="33" t="s">
        <v>1013</v>
      </c>
      <c r="C29" s="168">
        <v>1</v>
      </c>
      <c r="D29" s="33" t="s">
        <v>22</v>
      </c>
    </row>
    <row r="30" spans="2:4">
      <c r="B30" s="33" t="s">
        <v>1014</v>
      </c>
      <c r="C30" s="168">
        <v>1</v>
      </c>
      <c r="D30" s="33" t="s">
        <v>22</v>
      </c>
    </row>
  </sheetData>
  <mergeCells count="1">
    <mergeCell ref="A3:D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I157"/>
  <sheetViews>
    <sheetView view="pageBreakPreview" zoomScaleSheetLayoutView="100" workbookViewId="0">
      <selection activeCell="G6" sqref="G6"/>
    </sheetView>
  </sheetViews>
  <sheetFormatPr defaultRowHeight="15.75"/>
  <cols>
    <col min="1" max="1" width="8.109375" customWidth="1"/>
    <col min="2" max="2" width="26.77734375" customWidth="1"/>
    <col min="3" max="3" width="6" customWidth="1"/>
    <col min="4" max="4" width="5.44140625" customWidth="1"/>
    <col min="5" max="5" width="9" bestFit="1" customWidth="1"/>
    <col min="6" max="6" width="8" customWidth="1"/>
    <col min="7" max="7" width="10.6640625" customWidth="1"/>
    <col min="8" max="8" width="9.5546875" customWidth="1"/>
    <col min="9" max="9" width="6.21875" customWidth="1"/>
  </cols>
  <sheetData>
    <row r="1" spans="1:9" ht="39.75" customHeight="1">
      <c r="A1" s="621" t="s">
        <v>1177</v>
      </c>
      <c r="B1" s="622"/>
      <c r="C1" s="622"/>
      <c r="D1" s="622"/>
      <c r="E1" s="622"/>
      <c r="F1" s="622"/>
      <c r="G1" s="622"/>
      <c r="H1" s="623"/>
      <c r="I1" s="172"/>
    </row>
    <row r="2" spans="1:9" ht="18">
      <c r="A2" s="173"/>
      <c r="B2" s="624" t="s">
        <v>1015</v>
      </c>
      <c r="C2" s="618"/>
      <c r="D2" s="618"/>
      <c r="E2" s="618"/>
      <c r="F2" s="618"/>
      <c r="G2" s="618"/>
      <c r="H2" s="174"/>
      <c r="I2" s="175"/>
    </row>
    <row r="3" spans="1:9">
      <c r="A3" s="176" t="s">
        <v>1016</v>
      </c>
      <c r="B3" s="177" t="s">
        <v>99</v>
      </c>
      <c r="C3" s="625" t="s">
        <v>23</v>
      </c>
      <c r="D3" s="625"/>
      <c r="E3" s="177" t="s">
        <v>859</v>
      </c>
      <c r="F3" s="176" t="s">
        <v>25</v>
      </c>
      <c r="G3" s="176" t="s">
        <v>66</v>
      </c>
      <c r="H3" s="176" t="s">
        <v>1017</v>
      </c>
      <c r="I3" s="172"/>
    </row>
    <row r="4" spans="1:9" ht="29.25">
      <c r="A4" s="176">
        <v>1.6</v>
      </c>
      <c r="B4" s="178" t="s">
        <v>1018</v>
      </c>
      <c r="C4" s="179"/>
      <c r="D4" s="179"/>
      <c r="E4" s="179"/>
      <c r="F4" s="173"/>
      <c r="G4" s="173"/>
      <c r="H4" s="173"/>
      <c r="I4" s="172"/>
    </row>
    <row r="5" spans="1:9">
      <c r="A5" s="173"/>
      <c r="B5" s="179" t="s">
        <v>1019</v>
      </c>
      <c r="C5" s="180">
        <v>1</v>
      </c>
      <c r="D5" s="181">
        <v>1</v>
      </c>
      <c r="E5" s="179" t="s">
        <v>1020</v>
      </c>
      <c r="F5" s="173"/>
      <c r="G5" s="182">
        <v>2</v>
      </c>
      <c r="H5" s="182">
        <f>0.785*10.18*10.18*G5</f>
        <v>162.69999999999999</v>
      </c>
      <c r="I5" s="172"/>
    </row>
    <row r="6" spans="1:9">
      <c r="A6" s="173"/>
      <c r="B6" s="179"/>
      <c r="C6" s="180"/>
      <c r="D6" s="181"/>
      <c r="E6" s="179"/>
      <c r="F6" s="173" t="s">
        <v>55</v>
      </c>
      <c r="G6" s="183">
        <f>ROUNDUP(H5,1)</f>
        <v>162.69999999999999</v>
      </c>
      <c r="H6" s="176" t="s">
        <v>1021</v>
      </c>
      <c r="I6" s="172"/>
    </row>
    <row r="7" spans="1:9">
      <c r="A7" s="173"/>
      <c r="B7" s="179" t="s">
        <v>1022</v>
      </c>
      <c r="C7" s="181">
        <v>1</v>
      </c>
      <c r="D7" s="181">
        <v>1</v>
      </c>
      <c r="E7" s="179" t="s">
        <v>1020</v>
      </c>
      <c r="F7" s="173"/>
      <c r="G7" s="182">
        <v>1</v>
      </c>
      <c r="H7" s="182">
        <f>0.785*10.18*10.18*G7</f>
        <v>81.349999999999994</v>
      </c>
      <c r="I7" s="172"/>
    </row>
    <row r="8" spans="1:9">
      <c r="A8" s="173"/>
      <c r="B8" s="179"/>
      <c r="C8" s="173"/>
      <c r="D8" s="173"/>
      <c r="E8" s="179"/>
      <c r="F8" s="176" t="s">
        <v>55</v>
      </c>
      <c r="G8" s="183">
        <f>ROUNDUP(H7,1)</f>
        <v>81.400000000000006</v>
      </c>
      <c r="H8" s="176" t="s">
        <v>1021</v>
      </c>
      <c r="I8" s="172"/>
    </row>
    <row r="9" spans="1:9" ht="29.25">
      <c r="A9" s="176">
        <v>3.1</v>
      </c>
      <c r="B9" s="178" t="s">
        <v>1023</v>
      </c>
      <c r="C9" s="173"/>
      <c r="D9" s="173"/>
      <c r="E9" s="179"/>
      <c r="F9" s="173"/>
      <c r="G9" s="173"/>
      <c r="H9" s="173"/>
      <c r="I9" s="172"/>
    </row>
    <row r="10" spans="1:9">
      <c r="A10" s="173"/>
      <c r="B10" s="179" t="s">
        <v>1024</v>
      </c>
      <c r="C10" s="173">
        <v>1</v>
      </c>
      <c r="D10" s="173">
        <v>1</v>
      </c>
      <c r="E10" s="179" t="s">
        <v>1020</v>
      </c>
      <c r="F10" s="173"/>
      <c r="G10" s="182">
        <v>0.1</v>
      </c>
      <c r="H10" s="182">
        <f>0.785*10.18*10.18*G10</f>
        <v>8.14</v>
      </c>
      <c r="I10" s="172"/>
    </row>
    <row r="11" spans="1:9">
      <c r="A11" s="173"/>
      <c r="B11" s="179"/>
      <c r="C11" s="173"/>
      <c r="D11" s="173"/>
      <c r="E11" s="179"/>
      <c r="F11" s="176" t="s">
        <v>55</v>
      </c>
      <c r="G11" s="183">
        <f>ROUNDUP(H10,1)</f>
        <v>8.1999999999999993</v>
      </c>
      <c r="H11" s="176" t="s">
        <v>1021</v>
      </c>
      <c r="I11" s="172"/>
    </row>
    <row r="12" spans="1:9" ht="29.25">
      <c r="A12" s="176">
        <v>4.0999999999999996</v>
      </c>
      <c r="B12" s="178" t="s">
        <v>1025</v>
      </c>
      <c r="C12" s="173"/>
      <c r="D12" s="173"/>
      <c r="E12" s="179"/>
      <c r="F12" s="173"/>
      <c r="G12" s="173"/>
      <c r="H12" s="173"/>
      <c r="I12" s="172"/>
    </row>
    <row r="13" spans="1:9">
      <c r="A13" s="173"/>
      <c r="B13" s="179" t="s">
        <v>1026</v>
      </c>
      <c r="C13" s="173">
        <v>1</v>
      </c>
      <c r="D13" s="173">
        <v>1</v>
      </c>
      <c r="E13" s="179" t="s">
        <v>1027</v>
      </c>
      <c r="F13" s="173"/>
      <c r="G13" s="173">
        <v>0.15</v>
      </c>
      <c r="H13" s="182">
        <f>0.785*8.96*8.96*G13</f>
        <v>9.4499999999999993</v>
      </c>
      <c r="I13" s="172"/>
    </row>
    <row r="14" spans="1:9">
      <c r="A14" s="173"/>
      <c r="B14" s="179" t="s">
        <v>1028</v>
      </c>
      <c r="C14" s="173">
        <v>1</v>
      </c>
      <c r="D14" s="173">
        <v>1</v>
      </c>
      <c r="E14" s="179" t="s">
        <v>1029</v>
      </c>
      <c r="F14" s="173"/>
      <c r="G14" s="173"/>
      <c r="H14" s="182">
        <f>0.785*8.96*0.23*0.45</f>
        <v>0.73</v>
      </c>
      <c r="I14" s="172"/>
    </row>
    <row r="15" spans="1:9">
      <c r="A15" s="173"/>
      <c r="B15" s="179" t="s">
        <v>1030</v>
      </c>
      <c r="C15" s="173">
        <v>-1</v>
      </c>
      <c r="D15" s="173">
        <v>2</v>
      </c>
      <c r="E15" s="179">
        <v>0.6</v>
      </c>
      <c r="F15" s="173">
        <v>0.6</v>
      </c>
      <c r="G15" s="173">
        <v>0.15</v>
      </c>
      <c r="H15" s="182">
        <f>PRODUCT(C15:G15)</f>
        <v>-0.11</v>
      </c>
      <c r="I15" s="172"/>
    </row>
    <row r="16" spans="1:9">
      <c r="A16" s="173"/>
      <c r="B16" s="179" t="s">
        <v>1031</v>
      </c>
      <c r="C16" s="173">
        <v>1</v>
      </c>
      <c r="D16" s="173">
        <v>1</v>
      </c>
      <c r="E16" s="179" t="s">
        <v>1032</v>
      </c>
      <c r="F16" s="173"/>
      <c r="G16" s="182">
        <v>0.3</v>
      </c>
      <c r="H16" s="182">
        <f>0.785*9.96*9.96*G16</f>
        <v>23.36</v>
      </c>
      <c r="I16" s="172"/>
    </row>
    <row r="17" spans="1:9">
      <c r="A17" s="173"/>
      <c r="B17" s="179" t="s">
        <v>1033</v>
      </c>
      <c r="C17" s="173">
        <v>1</v>
      </c>
      <c r="D17" s="173">
        <v>1</v>
      </c>
      <c r="E17" s="179" t="s">
        <v>1034</v>
      </c>
      <c r="F17" s="173"/>
      <c r="G17" s="182">
        <v>3.5</v>
      </c>
      <c r="H17" s="182">
        <f>0.785*0.45*0.45*3.5</f>
        <v>0.56000000000000005</v>
      </c>
      <c r="I17" s="172"/>
    </row>
    <row r="18" spans="1:9">
      <c r="A18" s="173"/>
      <c r="B18" s="179" t="s">
        <v>1035</v>
      </c>
      <c r="C18" s="173">
        <v>1</v>
      </c>
      <c r="D18" s="173">
        <v>1</v>
      </c>
      <c r="E18" s="179" t="s">
        <v>1036</v>
      </c>
      <c r="F18" s="173"/>
      <c r="G18" s="182">
        <v>1.6</v>
      </c>
      <c r="H18" s="182">
        <f>3.14*8.48*0.26*1.6</f>
        <v>11.08</v>
      </c>
      <c r="I18" s="172"/>
    </row>
    <row r="19" spans="1:9">
      <c r="A19" s="173"/>
      <c r="B19" s="179" t="s">
        <v>1037</v>
      </c>
      <c r="C19" s="173">
        <v>1</v>
      </c>
      <c r="D19" s="173">
        <v>1</v>
      </c>
      <c r="E19" s="179" t="s">
        <v>1038</v>
      </c>
      <c r="F19" s="173"/>
      <c r="G19" s="182">
        <v>1.9</v>
      </c>
      <c r="H19" s="182">
        <f>3.14*8.59*0.15*1.9</f>
        <v>7.69</v>
      </c>
      <c r="I19" s="172"/>
    </row>
    <row r="20" spans="1:9">
      <c r="A20" s="173"/>
      <c r="B20" s="179"/>
      <c r="C20" s="173"/>
      <c r="D20" s="173"/>
      <c r="E20" s="179"/>
      <c r="F20" s="173"/>
      <c r="G20" s="173"/>
      <c r="H20" s="176">
        <f>SUM(H16:H19)</f>
        <v>42.69</v>
      </c>
      <c r="I20" s="172"/>
    </row>
    <row r="21" spans="1:9">
      <c r="A21" s="173"/>
      <c r="B21" s="179"/>
      <c r="C21" s="173"/>
      <c r="D21" s="173"/>
      <c r="E21" s="179"/>
      <c r="F21" s="176" t="s">
        <v>55</v>
      </c>
      <c r="G21" s="183">
        <f>ROUNDUP(H20,1)</f>
        <v>42.7</v>
      </c>
      <c r="H21" s="176" t="s">
        <v>1021</v>
      </c>
      <c r="I21" s="172"/>
    </row>
    <row r="22" spans="1:9" ht="47.25">
      <c r="A22" s="184">
        <v>9.5</v>
      </c>
      <c r="B22" s="185" t="s">
        <v>0</v>
      </c>
      <c r="C22" s="173"/>
      <c r="D22" s="173"/>
      <c r="E22" s="179"/>
      <c r="F22" s="173"/>
      <c r="G22" s="176"/>
      <c r="H22" s="183"/>
      <c r="I22" s="172"/>
    </row>
    <row r="23" spans="1:9">
      <c r="A23" s="184"/>
      <c r="B23" s="185" t="s">
        <v>2</v>
      </c>
      <c r="C23" s="173"/>
      <c r="D23" s="173"/>
      <c r="E23" s="179"/>
      <c r="F23" s="173"/>
      <c r="G23" s="176"/>
      <c r="H23" s="183"/>
      <c r="I23" s="172"/>
    </row>
    <row r="24" spans="1:9">
      <c r="A24" s="173"/>
      <c r="B24" s="179" t="s">
        <v>1039</v>
      </c>
      <c r="C24" s="173">
        <v>1</v>
      </c>
      <c r="D24" s="173">
        <v>1</v>
      </c>
      <c r="E24" s="179" t="s">
        <v>1040</v>
      </c>
      <c r="F24" s="173"/>
      <c r="G24" s="182">
        <v>2.85</v>
      </c>
      <c r="H24" s="182">
        <f>(3.14*8.96*0.23*2.85)/2</f>
        <v>9.2200000000000006</v>
      </c>
      <c r="I24" s="172"/>
    </row>
    <row r="25" spans="1:9">
      <c r="A25" s="173"/>
      <c r="B25" s="179"/>
      <c r="C25" s="173"/>
      <c r="D25" s="173"/>
      <c r="E25" s="179"/>
      <c r="F25" s="176" t="s">
        <v>55</v>
      </c>
      <c r="G25" s="183">
        <f>ROUNDUP(H24,1)</f>
        <v>9.3000000000000007</v>
      </c>
      <c r="H25" s="176" t="s">
        <v>1021</v>
      </c>
      <c r="I25" s="172"/>
    </row>
    <row r="26" spans="1:9">
      <c r="A26" s="173"/>
      <c r="B26" s="179"/>
      <c r="C26" s="173"/>
      <c r="D26" s="173"/>
      <c r="E26" s="179"/>
      <c r="F26" s="173"/>
      <c r="G26" s="176"/>
      <c r="H26" s="183"/>
      <c r="I26" s="172"/>
    </row>
    <row r="27" spans="1:9" ht="29.25">
      <c r="A27" s="176">
        <v>10.5</v>
      </c>
      <c r="B27" s="178" t="s">
        <v>1041</v>
      </c>
      <c r="C27" s="173"/>
      <c r="D27" s="173"/>
      <c r="E27" s="179"/>
      <c r="F27" s="173"/>
      <c r="G27" s="173"/>
      <c r="H27" s="173"/>
      <c r="I27" s="172"/>
    </row>
    <row r="28" spans="1:9">
      <c r="A28" s="173"/>
      <c r="B28" s="179" t="s">
        <v>1042</v>
      </c>
      <c r="C28" s="173">
        <v>1</v>
      </c>
      <c r="D28" s="173">
        <v>1</v>
      </c>
      <c r="E28" s="618" t="s">
        <v>1043</v>
      </c>
      <c r="F28" s="618"/>
      <c r="G28" s="182">
        <v>0.45</v>
      </c>
      <c r="H28" s="182">
        <f>3.14*10.07*0.45</f>
        <v>14.23</v>
      </c>
      <c r="I28" s="172"/>
    </row>
    <row r="29" spans="1:9">
      <c r="A29" s="173"/>
      <c r="B29" s="179" t="s">
        <v>1044</v>
      </c>
      <c r="C29" s="173">
        <v>1</v>
      </c>
      <c r="D29" s="173">
        <v>1</v>
      </c>
      <c r="E29" s="618" t="s">
        <v>1045</v>
      </c>
      <c r="F29" s="618"/>
      <c r="G29" s="182">
        <v>3.5</v>
      </c>
      <c r="H29" s="182">
        <f>3.14*8.83*3.5</f>
        <v>97.04</v>
      </c>
      <c r="I29" s="172"/>
    </row>
    <row r="30" spans="1:9">
      <c r="A30" s="173"/>
      <c r="B30" s="179" t="s">
        <v>1046</v>
      </c>
      <c r="C30" s="173">
        <v>1</v>
      </c>
      <c r="D30" s="173">
        <v>1</v>
      </c>
      <c r="E30" s="618" t="s">
        <v>1047</v>
      </c>
      <c r="F30" s="618"/>
      <c r="G30" s="182">
        <v>1.5</v>
      </c>
      <c r="H30" s="182">
        <f>3.14*8.11*1.5</f>
        <v>38.200000000000003</v>
      </c>
      <c r="I30" s="172"/>
    </row>
    <row r="31" spans="1:9">
      <c r="A31" s="173"/>
      <c r="B31" s="179" t="s">
        <v>1048</v>
      </c>
      <c r="C31" s="173">
        <v>1</v>
      </c>
      <c r="D31" s="173">
        <v>1</v>
      </c>
      <c r="E31" s="618" t="s">
        <v>1049</v>
      </c>
      <c r="F31" s="618"/>
      <c r="G31" s="182">
        <v>1.9</v>
      </c>
      <c r="H31" s="182">
        <f>3.14*8.33*1.9</f>
        <v>49.7</v>
      </c>
      <c r="I31" s="172"/>
    </row>
    <row r="32" spans="1:9">
      <c r="A32" s="173"/>
      <c r="B32" s="179"/>
      <c r="C32" s="173"/>
      <c r="D32" s="173"/>
      <c r="E32" s="179"/>
      <c r="F32" s="173"/>
      <c r="G32" s="182"/>
      <c r="H32" s="176">
        <f>SUM(H28:H31)</f>
        <v>199.17</v>
      </c>
      <c r="I32" s="172"/>
    </row>
    <row r="33" spans="1:9">
      <c r="A33" s="173"/>
      <c r="B33" s="179"/>
      <c r="C33" s="173"/>
      <c r="D33" s="173"/>
      <c r="E33" s="179"/>
      <c r="F33" s="176" t="s">
        <v>55</v>
      </c>
      <c r="G33" s="183">
        <f>ROUNDUP(H32,1)</f>
        <v>199.2</v>
      </c>
      <c r="H33" s="176" t="s">
        <v>1050</v>
      </c>
      <c r="I33" s="172"/>
    </row>
    <row r="34" spans="1:9" ht="29.25">
      <c r="A34" s="176">
        <v>35.1</v>
      </c>
      <c r="B34" s="178" t="s">
        <v>1051</v>
      </c>
      <c r="C34" s="173"/>
      <c r="D34" s="173"/>
      <c r="E34" s="179"/>
      <c r="F34" s="173"/>
      <c r="G34" s="182"/>
      <c r="H34" s="173"/>
      <c r="I34" s="172"/>
    </row>
    <row r="35" spans="1:9">
      <c r="A35" s="173"/>
      <c r="B35" s="179" t="s">
        <v>1052</v>
      </c>
      <c r="C35" s="173">
        <v>1</v>
      </c>
      <c r="D35" s="173">
        <v>1</v>
      </c>
      <c r="E35" s="618" t="s">
        <v>1053</v>
      </c>
      <c r="F35" s="618"/>
      <c r="G35" s="182">
        <v>1.61</v>
      </c>
      <c r="H35" s="182">
        <f>3.14*1.61</f>
        <v>5.0599999999999996</v>
      </c>
      <c r="I35" s="172"/>
    </row>
    <row r="36" spans="1:9">
      <c r="A36" s="173"/>
      <c r="B36" s="179" t="s">
        <v>1054</v>
      </c>
      <c r="C36" s="173">
        <v>1</v>
      </c>
      <c r="D36" s="173">
        <v>1</v>
      </c>
      <c r="E36" s="618" t="s">
        <v>1055</v>
      </c>
      <c r="F36" s="618"/>
      <c r="G36" s="182">
        <v>1.9</v>
      </c>
      <c r="H36" s="182">
        <f>3.14*8.22</f>
        <v>25.81</v>
      </c>
      <c r="I36" s="172"/>
    </row>
    <row r="37" spans="1:9">
      <c r="A37" s="173"/>
      <c r="B37" s="179"/>
      <c r="C37" s="173"/>
      <c r="D37" s="173"/>
      <c r="E37" s="179"/>
      <c r="F37" s="173"/>
      <c r="G37" s="182"/>
      <c r="H37" s="176">
        <f>SUM(H35:H36)</f>
        <v>30.87</v>
      </c>
      <c r="I37" s="172"/>
    </row>
    <row r="38" spans="1:9">
      <c r="A38" s="173"/>
      <c r="B38" s="179"/>
      <c r="C38" s="173"/>
      <c r="D38" s="173"/>
      <c r="E38" s="179"/>
      <c r="F38" s="176" t="s">
        <v>55</v>
      </c>
      <c r="G38" s="183">
        <f>ROUNDUP(H37,1)</f>
        <v>30.9</v>
      </c>
      <c r="H38" s="176" t="s">
        <v>1050</v>
      </c>
      <c r="I38" s="172"/>
    </row>
    <row r="39" spans="1:9">
      <c r="A39" s="176">
        <v>33</v>
      </c>
      <c r="B39" s="177" t="s">
        <v>1056</v>
      </c>
      <c r="C39" s="173"/>
      <c r="D39" s="173"/>
      <c r="E39" s="179"/>
      <c r="F39" s="173"/>
      <c r="G39" s="182"/>
      <c r="H39" s="173"/>
      <c r="I39" s="172"/>
    </row>
    <row r="40" spans="1:9">
      <c r="A40" s="173"/>
      <c r="B40" s="179" t="s">
        <v>1057</v>
      </c>
      <c r="C40" s="173">
        <v>1</v>
      </c>
      <c r="D40" s="173">
        <v>1</v>
      </c>
      <c r="E40" s="618" t="s">
        <v>1058</v>
      </c>
      <c r="F40" s="618"/>
      <c r="G40" s="182">
        <v>3.5</v>
      </c>
      <c r="H40" s="182">
        <f>3.14*8.96*3.5</f>
        <v>98.47</v>
      </c>
      <c r="I40" s="172"/>
    </row>
    <row r="41" spans="1:9">
      <c r="A41" s="173"/>
      <c r="B41" s="179" t="s">
        <v>1059</v>
      </c>
      <c r="C41" s="173">
        <v>2</v>
      </c>
      <c r="D41" s="173">
        <v>1</v>
      </c>
      <c r="E41" s="618" t="s">
        <v>1060</v>
      </c>
      <c r="F41" s="618"/>
      <c r="G41" s="182">
        <v>2.85</v>
      </c>
      <c r="H41" s="182">
        <f>(3.14*8.96*2.85*2)/2</f>
        <v>80.180000000000007</v>
      </c>
      <c r="I41" s="172"/>
    </row>
    <row r="42" spans="1:9">
      <c r="A42" s="173"/>
      <c r="B42" s="179"/>
      <c r="C42" s="173"/>
      <c r="D42" s="173"/>
      <c r="E42" s="173"/>
      <c r="F42" s="173"/>
      <c r="G42" s="182"/>
      <c r="H42" s="173">
        <f>SUM(H40:H41)</f>
        <v>178.65</v>
      </c>
      <c r="I42" s="172"/>
    </row>
    <row r="43" spans="1:9">
      <c r="A43" s="173"/>
      <c r="B43" s="179"/>
      <c r="C43" s="173"/>
      <c r="D43" s="173"/>
      <c r="E43" s="179"/>
      <c r="F43" s="176" t="s">
        <v>55</v>
      </c>
      <c r="G43" s="183">
        <f>ROUNDUP(H42,1)</f>
        <v>178.7</v>
      </c>
      <c r="H43" s="176" t="s">
        <v>1050</v>
      </c>
      <c r="I43" s="172"/>
    </row>
    <row r="44" spans="1:9">
      <c r="A44" s="173"/>
      <c r="B44" s="179"/>
      <c r="C44" s="173"/>
      <c r="D44" s="173"/>
      <c r="E44" s="179"/>
      <c r="F44" s="173"/>
      <c r="G44" s="173"/>
      <c r="H44" s="186"/>
      <c r="I44" s="172"/>
    </row>
    <row r="45" spans="1:9">
      <c r="A45" s="176">
        <v>42.1</v>
      </c>
      <c r="B45" s="177" t="s">
        <v>1061</v>
      </c>
      <c r="C45" s="173"/>
      <c r="D45" s="173"/>
      <c r="E45" s="179"/>
      <c r="F45" s="176" t="s">
        <v>1062</v>
      </c>
      <c r="G45" s="176" t="s">
        <v>1063</v>
      </c>
      <c r="H45" s="176" t="s">
        <v>1064</v>
      </c>
      <c r="I45" s="187" t="s">
        <v>1065</v>
      </c>
    </row>
    <row r="46" spans="1:9">
      <c r="A46" s="176"/>
      <c r="B46" s="179" t="s">
        <v>1066</v>
      </c>
      <c r="C46" s="173">
        <v>2</v>
      </c>
      <c r="D46" s="173">
        <v>2</v>
      </c>
      <c r="E46" s="188">
        <v>10.18</v>
      </c>
      <c r="F46" s="173"/>
      <c r="G46" s="182"/>
      <c r="H46" s="173">
        <f>PRODUCT(C46:E46)</f>
        <v>40.72</v>
      </c>
      <c r="I46" s="189"/>
    </row>
    <row r="47" spans="1:9">
      <c r="A47" s="176"/>
      <c r="B47" s="179" t="s">
        <v>1066</v>
      </c>
      <c r="C47" s="173">
        <v>2</v>
      </c>
      <c r="D47" s="173">
        <v>2</v>
      </c>
      <c r="E47" s="188">
        <v>10.08</v>
      </c>
      <c r="F47" s="173"/>
      <c r="G47" s="182"/>
      <c r="H47" s="173">
        <f t="shared" ref="H47:H82" si="0">PRODUCT(C47:E47)</f>
        <v>40.32</v>
      </c>
      <c r="I47" s="189"/>
    </row>
    <row r="48" spans="1:9">
      <c r="A48" s="176"/>
      <c r="B48" s="179" t="s">
        <v>1066</v>
      </c>
      <c r="C48" s="173">
        <v>2</v>
      </c>
      <c r="D48" s="173">
        <v>2</v>
      </c>
      <c r="E48" s="188">
        <v>10</v>
      </c>
      <c r="F48" s="173"/>
      <c r="G48" s="182"/>
      <c r="H48" s="173">
        <f t="shared" si="0"/>
        <v>40</v>
      </c>
      <c r="I48" s="189"/>
    </row>
    <row r="49" spans="1:9">
      <c r="A49" s="176"/>
      <c r="B49" s="179" t="s">
        <v>1066</v>
      </c>
      <c r="C49" s="173">
        <v>2</v>
      </c>
      <c r="D49" s="173">
        <v>2</v>
      </c>
      <c r="E49" s="188">
        <v>9.9600000000000009</v>
      </c>
      <c r="F49" s="173"/>
      <c r="G49" s="182"/>
      <c r="H49" s="173">
        <f t="shared" si="0"/>
        <v>39.840000000000003</v>
      </c>
      <c r="I49" s="189"/>
    </row>
    <row r="50" spans="1:9">
      <c r="A50" s="176"/>
      <c r="B50" s="179" t="s">
        <v>1066</v>
      </c>
      <c r="C50" s="173">
        <v>2</v>
      </c>
      <c r="D50" s="173">
        <v>2</v>
      </c>
      <c r="E50" s="188">
        <v>9.9</v>
      </c>
      <c r="F50" s="173"/>
      <c r="G50" s="182"/>
      <c r="H50" s="173">
        <f t="shared" si="0"/>
        <v>39.6</v>
      </c>
      <c r="I50" s="189"/>
    </row>
    <row r="51" spans="1:9">
      <c r="A51" s="176"/>
      <c r="B51" s="179" t="s">
        <v>1066</v>
      </c>
      <c r="C51" s="173">
        <v>2</v>
      </c>
      <c r="D51" s="173">
        <v>2</v>
      </c>
      <c r="E51" s="188">
        <v>9.8000000000000007</v>
      </c>
      <c r="F51" s="173"/>
      <c r="G51" s="182"/>
      <c r="H51" s="173">
        <f t="shared" si="0"/>
        <v>39.200000000000003</v>
      </c>
      <c r="I51" s="189"/>
    </row>
    <row r="52" spans="1:9">
      <c r="A52" s="176"/>
      <c r="B52" s="179" t="s">
        <v>1066</v>
      </c>
      <c r="C52" s="173">
        <v>2</v>
      </c>
      <c r="D52" s="173">
        <v>2</v>
      </c>
      <c r="E52" s="188">
        <v>9.6</v>
      </c>
      <c r="F52" s="173"/>
      <c r="G52" s="182"/>
      <c r="H52" s="173">
        <f t="shared" si="0"/>
        <v>38.4</v>
      </c>
      <c r="I52" s="189"/>
    </row>
    <row r="53" spans="1:9">
      <c r="A53" s="176"/>
      <c r="B53" s="179" t="s">
        <v>1066</v>
      </c>
      <c r="C53" s="173">
        <v>2</v>
      </c>
      <c r="D53" s="173">
        <v>2</v>
      </c>
      <c r="E53" s="188">
        <v>9.4</v>
      </c>
      <c r="F53" s="173"/>
      <c r="G53" s="182"/>
      <c r="H53" s="173">
        <f t="shared" si="0"/>
        <v>37.6</v>
      </c>
      <c r="I53" s="189"/>
    </row>
    <row r="54" spans="1:9">
      <c r="A54" s="176"/>
      <c r="B54" s="179" t="s">
        <v>1066</v>
      </c>
      <c r="C54" s="173">
        <v>2</v>
      </c>
      <c r="D54" s="173">
        <v>2</v>
      </c>
      <c r="E54" s="188">
        <v>9.1999999999999993</v>
      </c>
      <c r="F54" s="173"/>
      <c r="G54" s="182"/>
      <c r="H54" s="173">
        <f t="shared" si="0"/>
        <v>36.799999999999997</v>
      </c>
      <c r="I54" s="189"/>
    </row>
    <row r="55" spans="1:9">
      <c r="A55" s="176"/>
      <c r="B55" s="179" t="s">
        <v>1066</v>
      </c>
      <c r="C55" s="173">
        <v>2</v>
      </c>
      <c r="D55" s="173">
        <v>2</v>
      </c>
      <c r="E55" s="188">
        <v>8.6</v>
      </c>
      <c r="F55" s="173"/>
      <c r="G55" s="182"/>
      <c r="H55" s="173">
        <f t="shared" si="0"/>
        <v>34.4</v>
      </c>
      <c r="I55" s="189"/>
    </row>
    <row r="56" spans="1:9">
      <c r="A56" s="176"/>
      <c r="B56" s="179" t="s">
        <v>1066</v>
      </c>
      <c r="C56" s="173">
        <v>2</v>
      </c>
      <c r="D56" s="173">
        <v>2</v>
      </c>
      <c r="E56" s="188">
        <v>8.5</v>
      </c>
      <c r="F56" s="173"/>
      <c r="G56" s="182"/>
      <c r="H56" s="173">
        <f t="shared" si="0"/>
        <v>34</v>
      </c>
      <c r="I56" s="189"/>
    </row>
    <row r="57" spans="1:9">
      <c r="A57" s="176"/>
      <c r="B57" s="179" t="s">
        <v>1066</v>
      </c>
      <c r="C57" s="173">
        <v>2</v>
      </c>
      <c r="D57" s="173">
        <v>2</v>
      </c>
      <c r="E57" s="188">
        <v>8.1</v>
      </c>
      <c r="F57" s="173"/>
      <c r="G57" s="182"/>
      <c r="H57" s="173">
        <f t="shared" si="0"/>
        <v>32.4</v>
      </c>
      <c r="I57" s="189"/>
    </row>
    <row r="58" spans="1:9">
      <c r="A58" s="176"/>
      <c r="B58" s="179" t="s">
        <v>1066</v>
      </c>
      <c r="C58" s="173">
        <v>2</v>
      </c>
      <c r="D58" s="173">
        <v>2</v>
      </c>
      <c r="E58" s="188">
        <v>7.9</v>
      </c>
      <c r="F58" s="173"/>
      <c r="G58" s="182"/>
      <c r="H58" s="173">
        <f t="shared" si="0"/>
        <v>31.6</v>
      </c>
      <c r="I58" s="189"/>
    </row>
    <row r="59" spans="1:9">
      <c r="A59" s="176"/>
      <c r="B59" s="179" t="s">
        <v>1066</v>
      </c>
      <c r="C59" s="173">
        <v>2</v>
      </c>
      <c r="D59" s="173">
        <v>2</v>
      </c>
      <c r="E59" s="188">
        <v>7.6</v>
      </c>
      <c r="F59" s="173"/>
      <c r="G59" s="182"/>
      <c r="H59" s="173">
        <f t="shared" si="0"/>
        <v>30.4</v>
      </c>
      <c r="I59" s="189"/>
    </row>
    <row r="60" spans="1:9">
      <c r="A60" s="176"/>
      <c r="B60" s="179" t="s">
        <v>1066</v>
      </c>
      <c r="C60" s="173">
        <v>2</v>
      </c>
      <c r="D60" s="173">
        <v>2</v>
      </c>
      <c r="E60" s="188">
        <v>7.5</v>
      </c>
      <c r="F60" s="173"/>
      <c r="G60" s="182"/>
      <c r="H60" s="173">
        <f t="shared" si="0"/>
        <v>30</v>
      </c>
      <c r="I60" s="189"/>
    </row>
    <row r="61" spans="1:9">
      <c r="A61" s="176"/>
      <c r="B61" s="179" t="s">
        <v>1066</v>
      </c>
      <c r="C61" s="173">
        <v>2</v>
      </c>
      <c r="D61" s="173">
        <v>2</v>
      </c>
      <c r="E61" s="188">
        <v>7.2</v>
      </c>
      <c r="F61" s="173"/>
      <c r="G61" s="182"/>
      <c r="H61" s="173">
        <f t="shared" si="0"/>
        <v>28.8</v>
      </c>
      <c r="I61" s="189"/>
    </row>
    <row r="62" spans="1:9">
      <c r="A62" s="176"/>
      <c r="B62" s="179" t="s">
        <v>1066</v>
      </c>
      <c r="C62" s="173">
        <v>2</v>
      </c>
      <c r="D62" s="173">
        <v>2</v>
      </c>
      <c r="E62" s="188">
        <v>7</v>
      </c>
      <c r="F62" s="173"/>
      <c r="G62" s="182"/>
      <c r="H62" s="173">
        <f t="shared" si="0"/>
        <v>28</v>
      </c>
      <c r="I62" s="189"/>
    </row>
    <row r="63" spans="1:9">
      <c r="A63" s="176"/>
      <c r="B63" s="179" t="s">
        <v>1066</v>
      </c>
      <c r="C63" s="173">
        <v>2</v>
      </c>
      <c r="D63" s="173">
        <v>2</v>
      </c>
      <c r="E63" s="188">
        <v>6.8</v>
      </c>
      <c r="F63" s="173"/>
      <c r="G63" s="182"/>
      <c r="H63" s="173">
        <f t="shared" si="0"/>
        <v>27.2</v>
      </c>
      <c r="I63" s="189"/>
    </row>
    <row r="64" spans="1:9">
      <c r="A64" s="176"/>
      <c r="B64" s="179" t="s">
        <v>1066</v>
      </c>
      <c r="C64" s="173">
        <v>2</v>
      </c>
      <c r="D64" s="173">
        <v>2</v>
      </c>
      <c r="E64" s="188">
        <v>6.5</v>
      </c>
      <c r="F64" s="173"/>
      <c r="G64" s="182"/>
      <c r="H64" s="173">
        <f t="shared" si="0"/>
        <v>26</v>
      </c>
      <c r="I64" s="189"/>
    </row>
    <row r="65" spans="1:9">
      <c r="A65" s="176"/>
      <c r="B65" s="179" t="s">
        <v>1066</v>
      </c>
      <c r="C65" s="173">
        <v>2</v>
      </c>
      <c r="D65" s="173">
        <v>2</v>
      </c>
      <c r="E65" s="188">
        <v>6.1</v>
      </c>
      <c r="F65" s="173"/>
      <c r="G65" s="182"/>
      <c r="H65" s="173">
        <f t="shared" si="0"/>
        <v>24.4</v>
      </c>
      <c r="I65" s="189"/>
    </row>
    <row r="66" spans="1:9">
      <c r="A66" s="176"/>
      <c r="B66" s="179" t="s">
        <v>1066</v>
      </c>
      <c r="C66" s="173">
        <v>2</v>
      </c>
      <c r="D66" s="173">
        <v>2</v>
      </c>
      <c r="E66" s="188">
        <v>5.9</v>
      </c>
      <c r="F66" s="173"/>
      <c r="G66" s="182"/>
      <c r="H66" s="173">
        <f t="shared" si="0"/>
        <v>23.6</v>
      </c>
      <c r="I66" s="189"/>
    </row>
    <row r="67" spans="1:9">
      <c r="A67" s="176"/>
      <c r="B67" s="179" t="s">
        <v>1066</v>
      </c>
      <c r="C67" s="173">
        <v>2</v>
      </c>
      <c r="D67" s="173">
        <v>2</v>
      </c>
      <c r="E67" s="188">
        <v>5.5</v>
      </c>
      <c r="F67" s="173"/>
      <c r="G67" s="182"/>
      <c r="H67" s="173">
        <f t="shared" si="0"/>
        <v>22</v>
      </c>
      <c r="I67" s="189"/>
    </row>
    <row r="68" spans="1:9">
      <c r="A68" s="176"/>
      <c r="B68" s="179" t="s">
        <v>1066</v>
      </c>
      <c r="C68" s="173">
        <v>2</v>
      </c>
      <c r="D68" s="173">
        <v>2</v>
      </c>
      <c r="E68" s="188">
        <v>5.0999999999999996</v>
      </c>
      <c r="F68" s="173"/>
      <c r="G68" s="182"/>
      <c r="H68" s="173">
        <f t="shared" si="0"/>
        <v>20.399999999999999</v>
      </c>
      <c r="I68" s="189"/>
    </row>
    <row r="69" spans="1:9">
      <c r="A69" s="176"/>
      <c r="B69" s="179" t="s">
        <v>1066</v>
      </c>
      <c r="C69" s="173">
        <v>2</v>
      </c>
      <c r="D69" s="173">
        <v>2</v>
      </c>
      <c r="E69" s="188">
        <v>4.9000000000000004</v>
      </c>
      <c r="F69" s="173"/>
      <c r="G69" s="182"/>
      <c r="H69" s="173">
        <f t="shared" si="0"/>
        <v>19.600000000000001</v>
      </c>
      <c r="I69" s="189"/>
    </row>
    <row r="70" spans="1:9">
      <c r="A70" s="176"/>
      <c r="B70" s="179" t="s">
        <v>1066</v>
      </c>
      <c r="C70" s="173">
        <v>2</v>
      </c>
      <c r="D70" s="173">
        <v>2</v>
      </c>
      <c r="E70" s="188">
        <v>4.5</v>
      </c>
      <c r="F70" s="173"/>
      <c r="G70" s="182"/>
      <c r="H70" s="173">
        <f t="shared" si="0"/>
        <v>18</v>
      </c>
      <c r="I70" s="189"/>
    </row>
    <row r="71" spans="1:9">
      <c r="A71" s="176"/>
      <c r="B71" s="179" t="s">
        <v>1066</v>
      </c>
      <c r="C71" s="173">
        <v>2</v>
      </c>
      <c r="D71" s="173">
        <v>2</v>
      </c>
      <c r="E71" s="188">
        <v>4.0999999999999996</v>
      </c>
      <c r="F71" s="173"/>
      <c r="G71" s="182"/>
      <c r="H71" s="173">
        <f t="shared" si="0"/>
        <v>16.399999999999999</v>
      </c>
      <c r="I71" s="189"/>
    </row>
    <row r="72" spans="1:9">
      <c r="A72" s="176"/>
      <c r="B72" s="179" t="s">
        <v>1066</v>
      </c>
      <c r="C72" s="173">
        <v>2</v>
      </c>
      <c r="D72" s="173">
        <v>2</v>
      </c>
      <c r="E72" s="188">
        <v>3.9</v>
      </c>
      <c r="F72" s="173"/>
      <c r="G72" s="182"/>
      <c r="H72" s="173">
        <f t="shared" si="0"/>
        <v>15.6</v>
      </c>
      <c r="I72" s="189"/>
    </row>
    <row r="73" spans="1:9">
      <c r="A73" s="176"/>
      <c r="B73" s="179" t="s">
        <v>1066</v>
      </c>
      <c r="C73" s="173">
        <v>2</v>
      </c>
      <c r="D73" s="173">
        <v>2</v>
      </c>
      <c r="E73" s="188">
        <v>3.6</v>
      </c>
      <c r="F73" s="173"/>
      <c r="G73" s="182"/>
      <c r="H73" s="173">
        <f t="shared" si="0"/>
        <v>14.4</v>
      </c>
      <c r="I73" s="189"/>
    </row>
    <row r="74" spans="1:9">
      <c r="A74" s="176"/>
      <c r="B74" s="179" t="s">
        <v>1066</v>
      </c>
      <c r="C74" s="173">
        <v>2</v>
      </c>
      <c r="D74" s="173">
        <v>2</v>
      </c>
      <c r="E74" s="188">
        <v>3.3</v>
      </c>
      <c r="F74" s="173"/>
      <c r="G74" s="182"/>
      <c r="H74" s="173">
        <f t="shared" si="0"/>
        <v>13.2</v>
      </c>
      <c r="I74" s="189"/>
    </row>
    <row r="75" spans="1:9">
      <c r="A75" s="176"/>
      <c r="B75" s="179" t="s">
        <v>1066</v>
      </c>
      <c r="C75" s="173">
        <v>2</v>
      </c>
      <c r="D75" s="173">
        <v>2</v>
      </c>
      <c r="E75" s="188">
        <v>3.1</v>
      </c>
      <c r="F75" s="173"/>
      <c r="G75" s="182"/>
      <c r="H75" s="173">
        <f t="shared" si="0"/>
        <v>12.4</v>
      </c>
      <c r="I75" s="189"/>
    </row>
    <row r="76" spans="1:9">
      <c r="A76" s="176"/>
      <c r="B76" s="179" t="s">
        <v>1066</v>
      </c>
      <c r="C76" s="173">
        <v>2</v>
      </c>
      <c r="D76" s="173">
        <v>2</v>
      </c>
      <c r="E76" s="188">
        <v>2.9</v>
      </c>
      <c r="F76" s="173"/>
      <c r="G76" s="182"/>
      <c r="H76" s="173">
        <f t="shared" si="0"/>
        <v>11.6</v>
      </c>
      <c r="I76" s="189"/>
    </row>
    <row r="77" spans="1:9">
      <c r="A77" s="176"/>
      <c r="B77" s="179" t="s">
        <v>1066</v>
      </c>
      <c r="C77" s="173">
        <v>2</v>
      </c>
      <c r="D77" s="173">
        <v>2</v>
      </c>
      <c r="E77" s="188">
        <v>2.5</v>
      </c>
      <c r="F77" s="173"/>
      <c r="G77" s="182"/>
      <c r="H77" s="173">
        <f t="shared" si="0"/>
        <v>10</v>
      </c>
      <c r="I77" s="189"/>
    </row>
    <row r="78" spans="1:9">
      <c r="A78" s="176"/>
      <c r="B78" s="179" t="s">
        <v>1066</v>
      </c>
      <c r="C78" s="173">
        <v>2</v>
      </c>
      <c r="D78" s="173">
        <v>2</v>
      </c>
      <c r="E78" s="188">
        <v>2.1</v>
      </c>
      <c r="F78" s="173"/>
      <c r="G78" s="182"/>
      <c r="H78" s="173">
        <f t="shared" si="0"/>
        <v>8.4</v>
      </c>
      <c r="I78" s="189"/>
    </row>
    <row r="79" spans="1:9">
      <c r="A79" s="176"/>
      <c r="B79" s="179" t="s">
        <v>1066</v>
      </c>
      <c r="C79" s="173">
        <v>2</v>
      </c>
      <c r="D79" s="173">
        <v>2</v>
      </c>
      <c r="E79" s="188">
        <v>1.9</v>
      </c>
      <c r="F79" s="173"/>
      <c r="G79" s="182"/>
      <c r="H79" s="173">
        <f t="shared" si="0"/>
        <v>7.6</v>
      </c>
      <c r="I79" s="189"/>
    </row>
    <row r="80" spans="1:9">
      <c r="A80" s="176"/>
      <c r="B80" s="179" t="s">
        <v>1066</v>
      </c>
      <c r="C80" s="173">
        <v>2</v>
      </c>
      <c r="D80" s="173">
        <v>2</v>
      </c>
      <c r="E80" s="188">
        <v>1.7</v>
      </c>
      <c r="F80" s="173"/>
      <c r="G80" s="182"/>
      <c r="H80" s="173">
        <f t="shared" si="0"/>
        <v>6.8</v>
      </c>
      <c r="I80" s="189"/>
    </row>
    <row r="81" spans="1:9">
      <c r="A81" s="176"/>
      <c r="B81" s="179" t="s">
        <v>1066</v>
      </c>
      <c r="C81" s="173">
        <v>2</v>
      </c>
      <c r="D81" s="173">
        <v>2</v>
      </c>
      <c r="E81" s="188">
        <v>1.6</v>
      </c>
      <c r="F81" s="173"/>
      <c r="G81" s="182"/>
      <c r="H81" s="173">
        <f t="shared" si="0"/>
        <v>6.4</v>
      </c>
      <c r="I81" s="189"/>
    </row>
    <row r="82" spans="1:9">
      <c r="A82" s="176"/>
      <c r="B82" s="179" t="s">
        <v>1066</v>
      </c>
      <c r="C82" s="173">
        <v>2</v>
      </c>
      <c r="D82" s="173">
        <v>2</v>
      </c>
      <c r="E82" s="188">
        <v>0.9</v>
      </c>
      <c r="F82" s="173"/>
      <c r="G82" s="182"/>
      <c r="H82" s="173">
        <f t="shared" si="0"/>
        <v>3.6</v>
      </c>
      <c r="I82" s="189"/>
    </row>
    <row r="83" spans="1:9">
      <c r="A83" s="176"/>
      <c r="B83" s="179" t="s">
        <v>1067</v>
      </c>
      <c r="C83" s="173">
        <v>60</v>
      </c>
      <c r="D83" s="173">
        <v>2</v>
      </c>
      <c r="E83" s="188">
        <v>1.2</v>
      </c>
      <c r="F83" s="173"/>
      <c r="G83" s="173"/>
      <c r="H83" s="182">
        <f>PRODUCT(C83:E83)</f>
        <v>144</v>
      </c>
      <c r="I83" s="189"/>
    </row>
    <row r="84" spans="1:9">
      <c r="A84" s="176"/>
      <c r="B84" s="179" t="s">
        <v>1068</v>
      </c>
      <c r="C84" s="173">
        <v>1</v>
      </c>
      <c r="D84" s="173">
        <v>6</v>
      </c>
      <c r="E84" s="188">
        <v>4.5</v>
      </c>
      <c r="F84" s="173"/>
      <c r="G84" s="173"/>
      <c r="H84" s="173"/>
      <c r="I84" s="190">
        <f>PRODUCT(C84:E84)</f>
        <v>27</v>
      </c>
    </row>
    <row r="85" spans="1:9">
      <c r="A85" s="176"/>
      <c r="B85" s="179" t="s">
        <v>1069</v>
      </c>
      <c r="C85" s="173">
        <v>1</v>
      </c>
      <c r="D85" s="173">
        <v>6</v>
      </c>
      <c r="E85" s="188">
        <v>1</v>
      </c>
      <c r="F85" s="173"/>
      <c r="G85" s="173"/>
      <c r="H85" s="173"/>
      <c r="I85" s="190">
        <f>PRODUCT(C85:E85)</f>
        <v>6</v>
      </c>
    </row>
    <row r="86" spans="1:9">
      <c r="A86" s="176"/>
      <c r="B86" s="179" t="s">
        <v>1070</v>
      </c>
      <c r="C86" s="173">
        <v>1</v>
      </c>
      <c r="D86" s="173">
        <v>35</v>
      </c>
      <c r="E86" s="188">
        <v>1.41</v>
      </c>
      <c r="F86" s="173">
        <f>PRODUCT(C86:E86)</f>
        <v>49.35</v>
      </c>
      <c r="G86" s="173"/>
      <c r="H86" s="173"/>
      <c r="I86" s="189"/>
    </row>
    <row r="87" spans="1:9">
      <c r="A87" s="176"/>
      <c r="B87" s="179" t="s">
        <v>1071</v>
      </c>
      <c r="C87" s="173">
        <v>1</v>
      </c>
      <c r="D87" s="173">
        <v>6</v>
      </c>
      <c r="E87" s="188">
        <v>8.9600000000000009</v>
      </c>
      <c r="F87" s="173"/>
      <c r="G87" s="173"/>
      <c r="H87" s="173"/>
      <c r="I87" s="190">
        <f>PRODUCT(C87:E87)</f>
        <v>53.76</v>
      </c>
    </row>
    <row r="88" spans="1:9">
      <c r="A88" s="176"/>
      <c r="B88" s="179" t="s">
        <v>1070</v>
      </c>
      <c r="C88" s="173">
        <v>1</v>
      </c>
      <c r="D88" s="173">
        <v>43</v>
      </c>
      <c r="E88" s="188">
        <v>1.36</v>
      </c>
      <c r="F88" s="173">
        <f>PRODUCT(C88:E88)</f>
        <v>58.48</v>
      </c>
      <c r="G88" s="173"/>
      <c r="H88" s="173"/>
      <c r="I88" s="189"/>
    </row>
    <row r="89" spans="1:9">
      <c r="A89" s="176"/>
      <c r="B89" s="179" t="s">
        <v>1072</v>
      </c>
      <c r="C89" s="173">
        <v>2</v>
      </c>
      <c r="D89" s="173">
        <v>40</v>
      </c>
      <c r="E89" s="188">
        <v>2.5</v>
      </c>
      <c r="F89" s="173"/>
      <c r="G89" s="173"/>
      <c r="H89" s="182">
        <f>PRODUCT(C89:E89)</f>
        <v>200</v>
      </c>
      <c r="I89" s="189"/>
    </row>
    <row r="90" spans="1:9">
      <c r="A90" s="176"/>
      <c r="B90" s="179" t="s">
        <v>1073</v>
      </c>
      <c r="C90" s="173">
        <v>2</v>
      </c>
      <c r="D90" s="173">
        <v>40</v>
      </c>
      <c r="E90" s="188">
        <v>2.5</v>
      </c>
      <c r="F90" s="173"/>
      <c r="G90" s="173"/>
      <c r="H90" s="173"/>
      <c r="I90" s="190">
        <f>PRODUCT(C90:E90)</f>
        <v>200</v>
      </c>
    </row>
    <row r="91" spans="1:9">
      <c r="A91" s="176"/>
      <c r="B91" s="179" t="s">
        <v>1074</v>
      </c>
      <c r="C91" s="173">
        <v>1</v>
      </c>
      <c r="D91" s="173">
        <v>260</v>
      </c>
      <c r="E91" s="188">
        <v>3.5</v>
      </c>
      <c r="F91" s="173"/>
      <c r="G91" s="182"/>
      <c r="H91" s="182">
        <f>PRODUCT(C91:E91)</f>
        <v>910</v>
      </c>
      <c r="I91" s="189"/>
    </row>
    <row r="92" spans="1:9">
      <c r="A92" s="176"/>
      <c r="B92" s="179" t="s">
        <v>1074</v>
      </c>
      <c r="C92" s="173">
        <v>1</v>
      </c>
      <c r="D92" s="173">
        <v>260</v>
      </c>
      <c r="E92" s="188">
        <v>2.5</v>
      </c>
      <c r="F92" s="173"/>
      <c r="G92" s="182"/>
      <c r="H92" s="182">
        <f>PRODUCT(C92:E92)</f>
        <v>650</v>
      </c>
      <c r="I92" s="189"/>
    </row>
    <row r="93" spans="1:9">
      <c r="A93" s="176"/>
      <c r="B93" s="179" t="s">
        <v>1075</v>
      </c>
      <c r="C93" s="173">
        <v>1</v>
      </c>
      <c r="D93" s="173">
        <v>14</v>
      </c>
      <c r="E93" s="188">
        <v>57</v>
      </c>
      <c r="F93" s="182">
        <f>PRODUCT(C93:E93)</f>
        <v>798</v>
      </c>
      <c r="G93" s="173"/>
      <c r="H93" s="173"/>
      <c r="I93" s="189"/>
    </row>
    <row r="94" spans="1:9">
      <c r="A94" s="176"/>
      <c r="B94" s="177" t="s">
        <v>1076</v>
      </c>
      <c r="C94" s="173"/>
      <c r="D94" s="173"/>
      <c r="E94" s="179"/>
      <c r="F94" s="173"/>
      <c r="G94" s="173"/>
      <c r="H94" s="173"/>
      <c r="I94" s="189"/>
    </row>
    <row r="95" spans="1:9">
      <c r="A95" s="176"/>
      <c r="B95" s="179" t="s">
        <v>1077</v>
      </c>
      <c r="C95" s="173">
        <v>2</v>
      </c>
      <c r="D95" s="173">
        <v>2</v>
      </c>
      <c r="E95" s="188">
        <v>8.9600000000000009</v>
      </c>
      <c r="F95" s="173"/>
      <c r="G95" s="182">
        <f t="shared" ref="G95:G116" si="1">PRODUCT(C95:E95)</f>
        <v>35.840000000000003</v>
      </c>
      <c r="H95" s="173"/>
      <c r="I95" s="189"/>
    </row>
    <row r="96" spans="1:9">
      <c r="A96" s="176"/>
      <c r="B96" s="179" t="s">
        <v>1077</v>
      </c>
      <c r="C96" s="173">
        <v>2</v>
      </c>
      <c r="D96" s="173">
        <v>2</v>
      </c>
      <c r="E96" s="188">
        <v>8</v>
      </c>
      <c r="F96" s="173"/>
      <c r="G96" s="182">
        <f t="shared" si="1"/>
        <v>32</v>
      </c>
      <c r="H96" s="173"/>
      <c r="I96" s="189"/>
    </row>
    <row r="97" spans="1:9">
      <c r="A97" s="176"/>
      <c r="B97" s="179" t="s">
        <v>1077</v>
      </c>
      <c r="C97" s="173">
        <v>2</v>
      </c>
      <c r="D97" s="173">
        <v>2</v>
      </c>
      <c r="E97" s="188">
        <v>7.56</v>
      </c>
      <c r="F97" s="173"/>
      <c r="G97" s="182">
        <f t="shared" si="1"/>
        <v>30.24</v>
      </c>
      <c r="H97" s="173"/>
      <c r="I97" s="189"/>
    </row>
    <row r="98" spans="1:9">
      <c r="A98" s="176"/>
      <c r="B98" s="179" t="s">
        <v>1077</v>
      </c>
      <c r="C98" s="173">
        <v>2</v>
      </c>
      <c r="D98" s="173">
        <v>2</v>
      </c>
      <c r="E98" s="188">
        <v>7.46</v>
      </c>
      <c r="F98" s="173"/>
      <c r="G98" s="182">
        <f t="shared" si="1"/>
        <v>29.84</v>
      </c>
      <c r="H98" s="173"/>
      <c r="I98" s="189"/>
    </row>
    <row r="99" spans="1:9">
      <c r="A99" s="176"/>
      <c r="B99" s="179" t="s">
        <v>1077</v>
      </c>
      <c r="C99" s="173">
        <v>2</v>
      </c>
      <c r="D99" s="173">
        <v>2</v>
      </c>
      <c r="E99" s="188">
        <v>7.36</v>
      </c>
      <c r="F99" s="173"/>
      <c r="G99" s="182">
        <f t="shared" si="1"/>
        <v>29.44</v>
      </c>
      <c r="H99" s="173"/>
      <c r="I99" s="189"/>
    </row>
    <row r="100" spans="1:9">
      <c r="A100" s="176"/>
      <c r="B100" s="179" t="s">
        <v>1077</v>
      </c>
      <c r="C100" s="173">
        <v>2</v>
      </c>
      <c r="D100" s="173">
        <v>2</v>
      </c>
      <c r="E100" s="188">
        <v>7.26</v>
      </c>
      <c r="F100" s="173"/>
      <c r="G100" s="182">
        <f t="shared" si="1"/>
        <v>29.04</v>
      </c>
      <c r="H100" s="173"/>
      <c r="I100" s="189"/>
    </row>
    <row r="101" spans="1:9">
      <c r="A101" s="176"/>
      <c r="B101" s="179" t="s">
        <v>1077</v>
      </c>
      <c r="C101" s="173">
        <v>2</v>
      </c>
      <c r="D101" s="173">
        <v>2</v>
      </c>
      <c r="E101" s="188">
        <v>7.06</v>
      </c>
      <c r="F101" s="173"/>
      <c r="G101" s="182">
        <f t="shared" si="1"/>
        <v>28.24</v>
      </c>
      <c r="H101" s="173"/>
      <c r="I101" s="189"/>
    </row>
    <row r="102" spans="1:9">
      <c r="A102" s="176"/>
      <c r="B102" s="179" t="s">
        <v>1077</v>
      </c>
      <c r="C102" s="173">
        <v>2</v>
      </c>
      <c r="D102" s="173">
        <v>2</v>
      </c>
      <c r="E102" s="188">
        <v>6.86</v>
      </c>
      <c r="F102" s="173"/>
      <c r="G102" s="182">
        <f t="shared" si="1"/>
        <v>27.44</v>
      </c>
      <c r="H102" s="173"/>
      <c r="I102" s="189"/>
    </row>
    <row r="103" spans="1:9">
      <c r="A103" s="176"/>
      <c r="B103" s="179" t="s">
        <v>1077</v>
      </c>
      <c r="C103" s="173">
        <v>2</v>
      </c>
      <c r="D103" s="173">
        <v>2</v>
      </c>
      <c r="E103" s="188">
        <v>6.76</v>
      </c>
      <c r="F103" s="173"/>
      <c r="G103" s="182">
        <f t="shared" si="1"/>
        <v>27.04</v>
      </c>
      <c r="H103" s="173"/>
      <c r="I103" s="189"/>
    </row>
    <row r="104" spans="1:9">
      <c r="A104" s="176"/>
      <c r="B104" s="179" t="s">
        <v>1077</v>
      </c>
      <c r="C104" s="173">
        <v>2</v>
      </c>
      <c r="D104" s="173">
        <v>2</v>
      </c>
      <c r="E104" s="188">
        <v>6.46</v>
      </c>
      <c r="F104" s="173"/>
      <c r="G104" s="182">
        <f t="shared" si="1"/>
        <v>25.84</v>
      </c>
      <c r="H104" s="173"/>
      <c r="I104" s="189"/>
    </row>
    <row r="105" spans="1:9">
      <c r="A105" s="176"/>
      <c r="B105" s="179" t="s">
        <v>1077</v>
      </c>
      <c r="C105" s="173">
        <v>2</v>
      </c>
      <c r="D105" s="173">
        <v>2</v>
      </c>
      <c r="E105" s="188">
        <v>5</v>
      </c>
      <c r="F105" s="173"/>
      <c r="G105" s="182">
        <f t="shared" si="1"/>
        <v>20</v>
      </c>
      <c r="H105" s="173"/>
      <c r="I105" s="189"/>
    </row>
    <row r="106" spans="1:9">
      <c r="A106" s="176"/>
      <c r="B106" s="179" t="s">
        <v>1077</v>
      </c>
      <c r="C106" s="173">
        <v>2</v>
      </c>
      <c r="D106" s="173">
        <v>2</v>
      </c>
      <c r="E106" s="188">
        <v>4.8600000000000003</v>
      </c>
      <c r="F106" s="173"/>
      <c r="G106" s="182">
        <f t="shared" si="1"/>
        <v>19.440000000000001</v>
      </c>
      <c r="H106" s="173"/>
      <c r="I106" s="189"/>
    </row>
    <row r="107" spans="1:9">
      <c r="A107" s="176"/>
      <c r="B107" s="179" t="s">
        <v>1077</v>
      </c>
      <c r="C107" s="173">
        <v>2</v>
      </c>
      <c r="D107" s="173">
        <v>2</v>
      </c>
      <c r="E107" s="188">
        <v>4.46</v>
      </c>
      <c r="F107" s="173"/>
      <c r="G107" s="182">
        <f t="shared" si="1"/>
        <v>17.84</v>
      </c>
      <c r="H107" s="173"/>
      <c r="I107" s="189"/>
    </row>
    <row r="108" spans="1:9">
      <c r="A108" s="176"/>
      <c r="B108" s="179" t="s">
        <v>1077</v>
      </c>
      <c r="C108" s="173">
        <v>2</v>
      </c>
      <c r="D108" s="173">
        <v>2</v>
      </c>
      <c r="E108" s="188">
        <v>4</v>
      </c>
      <c r="F108" s="173"/>
      <c r="G108" s="182">
        <f t="shared" si="1"/>
        <v>16</v>
      </c>
      <c r="H108" s="173"/>
      <c r="I108" s="189"/>
    </row>
    <row r="109" spans="1:9">
      <c r="A109" s="176"/>
      <c r="B109" s="179" t="s">
        <v>1077</v>
      </c>
      <c r="C109" s="173">
        <v>2</v>
      </c>
      <c r="D109" s="173">
        <v>2</v>
      </c>
      <c r="E109" s="188">
        <v>3.78</v>
      </c>
      <c r="F109" s="173"/>
      <c r="G109" s="182">
        <f t="shared" si="1"/>
        <v>15.12</v>
      </c>
      <c r="H109" s="173"/>
      <c r="I109" s="189"/>
    </row>
    <row r="110" spans="1:9">
      <c r="A110" s="176"/>
      <c r="B110" s="179" t="s">
        <v>1077</v>
      </c>
      <c r="C110" s="173">
        <v>2</v>
      </c>
      <c r="D110" s="173">
        <v>2</v>
      </c>
      <c r="E110" s="188">
        <v>3.23</v>
      </c>
      <c r="F110" s="173"/>
      <c r="G110" s="182">
        <f t="shared" si="1"/>
        <v>12.92</v>
      </c>
      <c r="H110" s="173"/>
      <c r="I110" s="189"/>
    </row>
    <row r="111" spans="1:9">
      <c r="A111" s="176"/>
      <c r="B111" s="179" t="s">
        <v>1077</v>
      </c>
      <c r="C111" s="173">
        <v>2</v>
      </c>
      <c r="D111" s="173">
        <v>2</v>
      </c>
      <c r="E111" s="188">
        <v>2.66</v>
      </c>
      <c r="F111" s="173"/>
      <c r="G111" s="182">
        <f t="shared" si="1"/>
        <v>10.64</v>
      </c>
      <c r="H111" s="173"/>
      <c r="I111" s="189"/>
    </row>
    <row r="112" spans="1:9">
      <c r="A112" s="176"/>
      <c r="B112" s="179" t="s">
        <v>1077</v>
      </c>
      <c r="C112" s="173">
        <v>2</v>
      </c>
      <c r="D112" s="173">
        <v>2</v>
      </c>
      <c r="E112" s="188">
        <v>2.12</v>
      </c>
      <c r="F112" s="173"/>
      <c r="G112" s="182">
        <f t="shared" si="1"/>
        <v>8.48</v>
      </c>
      <c r="H112" s="173"/>
      <c r="I112" s="189"/>
    </row>
    <row r="113" spans="1:9">
      <c r="A113" s="176"/>
      <c r="B113" s="179" t="s">
        <v>1077</v>
      </c>
      <c r="C113" s="173">
        <v>2</v>
      </c>
      <c r="D113" s="173">
        <v>2</v>
      </c>
      <c r="E113" s="188">
        <v>1.85</v>
      </c>
      <c r="F113" s="173"/>
      <c r="G113" s="182">
        <f t="shared" si="1"/>
        <v>7.4</v>
      </c>
      <c r="H113" s="173"/>
      <c r="I113" s="189"/>
    </row>
    <row r="114" spans="1:9">
      <c r="A114" s="176"/>
      <c r="B114" s="179" t="s">
        <v>1077</v>
      </c>
      <c r="C114" s="173">
        <v>2</v>
      </c>
      <c r="D114" s="173">
        <v>2</v>
      </c>
      <c r="E114" s="188">
        <v>1.46</v>
      </c>
      <c r="F114" s="173"/>
      <c r="G114" s="182">
        <f t="shared" si="1"/>
        <v>5.84</v>
      </c>
      <c r="H114" s="173"/>
      <c r="I114" s="189"/>
    </row>
    <row r="115" spans="1:9">
      <c r="A115" s="176"/>
      <c r="B115" s="179" t="s">
        <v>1077</v>
      </c>
      <c r="C115" s="173">
        <v>2</v>
      </c>
      <c r="D115" s="173">
        <v>2</v>
      </c>
      <c r="E115" s="188">
        <v>1</v>
      </c>
      <c r="F115" s="173"/>
      <c r="G115" s="182">
        <f t="shared" si="1"/>
        <v>4</v>
      </c>
      <c r="H115" s="173"/>
      <c r="I115" s="189"/>
    </row>
    <row r="116" spans="1:9">
      <c r="A116" s="176"/>
      <c r="B116" s="179" t="s">
        <v>1077</v>
      </c>
      <c r="C116" s="173">
        <v>2</v>
      </c>
      <c r="D116" s="173">
        <v>2</v>
      </c>
      <c r="E116" s="188">
        <v>0.9</v>
      </c>
      <c r="F116" s="173"/>
      <c r="G116" s="182">
        <f t="shared" si="1"/>
        <v>3.6</v>
      </c>
      <c r="H116" s="173"/>
      <c r="I116" s="189"/>
    </row>
    <row r="117" spans="1:9">
      <c r="A117" s="176"/>
      <c r="B117" s="179" t="s">
        <v>1071</v>
      </c>
      <c r="C117" s="173">
        <v>2</v>
      </c>
      <c r="D117" s="173">
        <v>6</v>
      </c>
      <c r="E117" s="179">
        <v>8.9600000000000009</v>
      </c>
      <c r="F117" s="173"/>
      <c r="G117" s="173"/>
      <c r="H117" s="173"/>
      <c r="I117" s="190">
        <f>PRODUCT(C117:E117)</f>
        <v>107.52</v>
      </c>
    </row>
    <row r="118" spans="1:9">
      <c r="A118" s="176"/>
      <c r="B118" s="179" t="s">
        <v>1070</v>
      </c>
      <c r="C118" s="173">
        <v>2</v>
      </c>
      <c r="D118" s="173">
        <v>43</v>
      </c>
      <c r="E118" s="188">
        <v>1.1599999999999999</v>
      </c>
      <c r="F118" s="173">
        <f>PRODUCT(C118:E118)</f>
        <v>99.76</v>
      </c>
      <c r="G118" s="173"/>
      <c r="H118" s="173"/>
      <c r="I118" s="189"/>
    </row>
    <row r="119" spans="1:9">
      <c r="A119" s="176"/>
      <c r="B119" s="179" t="s">
        <v>1072</v>
      </c>
      <c r="C119" s="173">
        <v>2</v>
      </c>
      <c r="D119" s="173">
        <v>40</v>
      </c>
      <c r="E119" s="188">
        <v>1.5</v>
      </c>
      <c r="F119" s="173"/>
      <c r="G119" s="173"/>
      <c r="H119" s="182">
        <f>PRODUCT(C119:E119)</f>
        <v>120</v>
      </c>
      <c r="I119" s="189"/>
    </row>
    <row r="120" spans="1:9">
      <c r="A120" s="176"/>
      <c r="B120" s="179" t="s">
        <v>1078</v>
      </c>
      <c r="C120" s="173">
        <v>2</v>
      </c>
      <c r="D120" s="173">
        <v>20</v>
      </c>
      <c r="E120" s="188">
        <v>1.5</v>
      </c>
      <c r="F120" s="173"/>
      <c r="G120" s="173"/>
      <c r="H120" s="173"/>
      <c r="I120" s="190">
        <f>PRODUCT(C120:E120)</f>
        <v>60</v>
      </c>
    </row>
    <row r="121" spans="1:9">
      <c r="A121" s="176"/>
      <c r="B121" s="179" t="s">
        <v>1079</v>
      </c>
      <c r="C121" s="173">
        <v>1</v>
      </c>
      <c r="D121" s="173">
        <v>10</v>
      </c>
      <c r="E121" s="188">
        <v>56</v>
      </c>
      <c r="F121" s="173">
        <f>PRODUCT(C121:E121)</f>
        <v>560</v>
      </c>
      <c r="G121" s="173"/>
      <c r="H121" s="173"/>
      <c r="I121" s="189"/>
    </row>
    <row r="122" spans="1:9">
      <c r="A122" s="176"/>
      <c r="B122" s="179" t="s">
        <v>1067</v>
      </c>
      <c r="C122" s="173">
        <v>2</v>
      </c>
      <c r="D122" s="173">
        <v>40</v>
      </c>
      <c r="E122" s="179">
        <v>1.2</v>
      </c>
      <c r="F122" s="173"/>
      <c r="G122" s="173"/>
      <c r="H122" s="182">
        <f>PRODUCT(C122:E122)</f>
        <v>96</v>
      </c>
      <c r="I122" s="189"/>
    </row>
    <row r="123" spans="1:9">
      <c r="A123" s="176"/>
      <c r="B123" s="177" t="s">
        <v>1039</v>
      </c>
      <c r="C123" s="173"/>
      <c r="D123" s="173"/>
      <c r="E123" s="179"/>
      <c r="F123" s="173"/>
      <c r="G123" s="173"/>
      <c r="H123" s="173"/>
      <c r="I123" s="189"/>
    </row>
    <row r="124" spans="1:9">
      <c r="A124" s="176"/>
      <c r="B124" s="179" t="s">
        <v>1077</v>
      </c>
      <c r="C124" s="173">
        <v>2</v>
      </c>
      <c r="D124" s="173">
        <v>2</v>
      </c>
      <c r="E124" s="188">
        <v>8.9600000000000009</v>
      </c>
      <c r="F124" s="173"/>
      <c r="G124" s="182">
        <f t="shared" ref="G124:G135" si="2">PRODUCT(C124:E124)</f>
        <v>35.840000000000003</v>
      </c>
      <c r="H124" s="173"/>
      <c r="I124" s="189"/>
    </row>
    <row r="125" spans="1:9">
      <c r="A125" s="176"/>
      <c r="B125" s="179" t="s">
        <v>1077</v>
      </c>
      <c r="C125" s="173">
        <v>2</v>
      </c>
      <c r="D125" s="173">
        <v>2</v>
      </c>
      <c r="E125" s="188">
        <v>8</v>
      </c>
      <c r="F125" s="173"/>
      <c r="G125" s="182">
        <f t="shared" si="2"/>
        <v>32</v>
      </c>
      <c r="H125" s="173"/>
      <c r="I125" s="189"/>
    </row>
    <row r="126" spans="1:9">
      <c r="A126" s="176"/>
      <c r="B126" s="179" t="s">
        <v>1077</v>
      </c>
      <c r="C126" s="173">
        <v>2</v>
      </c>
      <c r="D126" s="173">
        <v>2</v>
      </c>
      <c r="E126" s="188">
        <v>7.86</v>
      </c>
      <c r="F126" s="173"/>
      <c r="G126" s="182">
        <f t="shared" si="2"/>
        <v>31.44</v>
      </c>
      <c r="H126" s="173"/>
      <c r="I126" s="189"/>
    </row>
    <row r="127" spans="1:9">
      <c r="A127" s="176"/>
      <c r="B127" s="179" t="s">
        <v>1077</v>
      </c>
      <c r="C127" s="173">
        <v>2</v>
      </c>
      <c r="D127" s="173">
        <v>2</v>
      </c>
      <c r="E127" s="188">
        <v>4.8600000000000003</v>
      </c>
      <c r="F127" s="173"/>
      <c r="G127" s="182">
        <f t="shared" si="2"/>
        <v>19.440000000000001</v>
      </c>
      <c r="H127" s="173"/>
      <c r="I127" s="189"/>
    </row>
    <row r="128" spans="1:9">
      <c r="A128" s="176"/>
      <c r="B128" s="179" t="s">
        <v>1077</v>
      </c>
      <c r="C128" s="173">
        <v>2</v>
      </c>
      <c r="D128" s="173">
        <v>2</v>
      </c>
      <c r="E128" s="188">
        <v>4.46</v>
      </c>
      <c r="F128" s="173"/>
      <c r="G128" s="182">
        <f t="shared" si="2"/>
        <v>17.84</v>
      </c>
      <c r="H128" s="173"/>
      <c r="I128" s="189"/>
    </row>
    <row r="129" spans="1:9">
      <c r="A129" s="176"/>
      <c r="B129" s="179" t="s">
        <v>1077</v>
      </c>
      <c r="C129" s="173">
        <v>2</v>
      </c>
      <c r="D129" s="173">
        <v>2</v>
      </c>
      <c r="E129" s="188">
        <v>4</v>
      </c>
      <c r="F129" s="173"/>
      <c r="G129" s="182">
        <f t="shared" si="2"/>
        <v>16</v>
      </c>
      <c r="H129" s="173"/>
      <c r="I129" s="189"/>
    </row>
    <row r="130" spans="1:9">
      <c r="A130" s="176"/>
      <c r="B130" s="179" t="s">
        <v>1077</v>
      </c>
      <c r="C130" s="173">
        <v>2</v>
      </c>
      <c r="D130" s="173">
        <v>2</v>
      </c>
      <c r="E130" s="188">
        <v>3.78</v>
      </c>
      <c r="F130" s="173"/>
      <c r="G130" s="182">
        <f t="shared" si="2"/>
        <v>15.12</v>
      </c>
      <c r="H130" s="173"/>
      <c r="I130" s="189"/>
    </row>
    <row r="131" spans="1:9">
      <c r="A131" s="176"/>
      <c r="B131" s="179" t="s">
        <v>1077</v>
      </c>
      <c r="C131" s="173">
        <v>2</v>
      </c>
      <c r="D131" s="173">
        <v>2</v>
      </c>
      <c r="E131" s="188">
        <v>3.23</v>
      </c>
      <c r="F131" s="173"/>
      <c r="G131" s="182">
        <f t="shared" si="2"/>
        <v>12.92</v>
      </c>
      <c r="H131" s="173"/>
      <c r="I131" s="189"/>
    </row>
    <row r="132" spans="1:9">
      <c r="A132" s="176"/>
      <c r="B132" s="179" t="s">
        <v>1077</v>
      </c>
      <c r="C132" s="173">
        <v>2</v>
      </c>
      <c r="D132" s="173">
        <v>2</v>
      </c>
      <c r="E132" s="188">
        <v>1.85</v>
      </c>
      <c r="F132" s="173"/>
      <c r="G132" s="182">
        <f t="shared" si="2"/>
        <v>7.4</v>
      </c>
      <c r="H132" s="173"/>
      <c r="I132" s="189"/>
    </row>
    <row r="133" spans="1:9">
      <c r="A133" s="176"/>
      <c r="B133" s="179" t="s">
        <v>1077</v>
      </c>
      <c r="C133" s="173">
        <v>2</v>
      </c>
      <c r="D133" s="173">
        <v>2</v>
      </c>
      <c r="E133" s="188">
        <v>1.46</v>
      </c>
      <c r="F133" s="173"/>
      <c r="G133" s="182">
        <f t="shared" si="2"/>
        <v>5.84</v>
      </c>
      <c r="H133" s="173"/>
      <c r="I133" s="189"/>
    </row>
    <row r="134" spans="1:9">
      <c r="A134" s="176"/>
      <c r="B134" s="179" t="s">
        <v>1077</v>
      </c>
      <c r="C134" s="173">
        <v>2</v>
      </c>
      <c r="D134" s="173">
        <v>2</v>
      </c>
      <c r="E134" s="188">
        <v>1</v>
      </c>
      <c r="F134" s="173"/>
      <c r="G134" s="182">
        <f t="shared" si="2"/>
        <v>4</v>
      </c>
      <c r="H134" s="173"/>
      <c r="I134" s="189"/>
    </row>
    <row r="135" spans="1:9">
      <c r="A135" s="176"/>
      <c r="B135" s="179" t="s">
        <v>1077</v>
      </c>
      <c r="C135" s="173">
        <v>2</v>
      </c>
      <c r="D135" s="173">
        <v>2</v>
      </c>
      <c r="E135" s="188">
        <v>0.9</v>
      </c>
      <c r="F135" s="173"/>
      <c r="G135" s="182">
        <f t="shared" si="2"/>
        <v>3.6</v>
      </c>
      <c r="H135" s="173"/>
      <c r="I135" s="189"/>
    </row>
    <row r="136" spans="1:9">
      <c r="A136" s="176"/>
      <c r="B136" s="179" t="s">
        <v>1080</v>
      </c>
      <c r="C136" s="173">
        <v>2</v>
      </c>
      <c r="D136" s="173">
        <v>30</v>
      </c>
      <c r="E136" s="188">
        <v>1.86</v>
      </c>
      <c r="F136" s="173"/>
      <c r="G136" s="173"/>
      <c r="H136" s="173"/>
      <c r="I136" s="190">
        <f>PRODUCT(C136:E136)</f>
        <v>111.6</v>
      </c>
    </row>
    <row r="137" spans="1:9">
      <c r="A137" s="176"/>
      <c r="B137" s="179" t="s">
        <v>1070</v>
      </c>
      <c r="C137" s="173">
        <v>1</v>
      </c>
      <c r="D137" s="173">
        <v>30</v>
      </c>
      <c r="E137" s="188">
        <v>0.86</v>
      </c>
      <c r="F137" s="173">
        <f>PRODUCT(C137:E137)</f>
        <v>25.8</v>
      </c>
      <c r="G137" s="173"/>
      <c r="H137" s="173"/>
      <c r="I137" s="189"/>
    </row>
    <row r="138" spans="1:9">
      <c r="A138" s="176"/>
      <c r="B138" s="179" t="s">
        <v>1073</v>
      </c>
      <c r="C138" s="173">
        <v>2</v>
      </c>
      <c r="D138" s="173">
        <v>30</v>
      </c>
      <c r="E138" s="188">
        <v>1.2</v>
      </c>
      <c r="F138" s="173"/>
      <c r="G138" s="173"/>
      <c r="H138" s="173"/>
      <c r="I138" s="190">
        <f>PRODUCT(C138:E138)</f>
        <v>72</v>
      </c>
    </row>
    <row r="139" spans="1:9">
      <c r="A139" s="176"/>
      <c r="B139" s="177"/>
      <c r="C139" s="173"/>
      <c r="D139" s="173"/>
      <c r="E139" s="179"/>
      <c r="F139" s="182">
        <f>SUM(F46:F138)</f>
        <v>1591.39</v>
      </c>
      <c r="G139" s="182">
        <f>SUM(G46:G138)</f>
        <v>637.67999999999995</v>
      </c>
      <c r="H139" s="182">
        <f>SUM(H46:H138)</f>
        <v>3029.68</v>
      </c>
      <c r="I139" s="182">
        <f>SUM(I46:I138)</f>
        <v>637.88</v>
      </c>
    </row>
    <row r="140" spans="1:9">
      <c r="A140" s="176"/>
      <c r="B140" s="177"/>
      <c r="C140" s="173"/>
      <c r="D140" s="173"/>
      <c r="E140" s="179"/>
      <c r="F140" s="173">
        <v>0.39500000000000002</v>
      </c>
      <c r="G140" s="173">
        <v>0.61699999999999999</v>
      </c>
      <c r="H140" s="173">
        <v>0.88800000000000001</v>
      </c>
      <c r="I140" s="189">
        <v>1.5780000000000001</v>
      </c>
    </row>
    <row r="141" spans="1:9">
      <c r="A141" s="176"/>
      <c r="B141" s="177"/>
      <c r="C141" s="173"/>
      <c r="D141" s="173"/>
      <c r="E141" s="179"/>
      <c r="F141" s="173">
        <f>F140*F139</f>
        <v>628.59905000000003</v>
      </c>
      <c r="G141" s="173">
        <f>G140*G139</f>
        <v>393.44855999999999</v>
      </c>
      <c r="H141" s="173">
        <f>H140*H139</f>
        <v>2690.3558400000002</v>
      </c>
      <c r="I141" s="173">
        <f>I140*I139</f>
        <v>1006.57464</v>
      </c>
    </row>
    <row r="142" spans="1:9">
      <c r="A142" s="176"/>
      <c r="B142" s="177"/>
      <c r="C142" s="173"/>
      <c r="D142" s="173"/>
      <c r="E142" s="179"/>
      <c r="F142" s="173"/>
      <c r="G142" s="173"/>
      <c r="H142" s="173">
        <f>F141+G141+H141+I141</f>
        <v>4718.9780899999996</v>
      </c>
      <c r="I142" s="190">
        <f>H142/1000</f>
        <v>4.72</v>
      </c>
    </row>
    <row r="143" spans="1:9">
      <c r="A143" s="173"/>
      <c r="B143" s="179"/>
      <c r="C143" s="173"/>
      <c r="D143" s="173"/>
      <c r="E143" s="179"/>
      <c r="F143" s="173"/>
      <c r="G143" s="176" t="s">
        <v>996</v>
      </c>
      <c r="H143" s="176">
        <v>4.72</v>
      </c>
      <c r="I143" s="172" t="s">
        <v>9</v>
      </c>
    </row>
    <row r="144" spans="1:9" ht="29.25">
      <c r="A144" s="173">
        <v>53.4</v>
      </c>
      <c r="B144" s="178" t="s">
        <v>1081</v>
      </c>
      <c r="C144" s="173"/>
      <c r="D144" s="173"/>
      <c r="E144" s="179"/>
      <c r="F144" s="173"/>
      <c r="G144" s="173"/>
      <c r="H144" s="173"/>
      <c r="I144" s="172"/>
    </row>
    <row r="145" spans="1:9">
      <c r="A145" s="173"/>
      <c r="B145" s="179" t="s">
        <v>1082</v>
      </c>
      <c r="C145" s="173">
        <v>1</v>
      </c>
      <c r="D145" s="173">
        <v>2</v>
      </c>
      <c r="E145" s="179">
        <v>1</v>
      </c>
      <c r="F145" s="173"/>
      <c r="G145" s="173"/>
      <c r="H145" s="176">
        <f>PRODUCT(C145:G145)</f>
        <v>2</v>
      </c>
      <c r="I145" s="172"/>
    </row>
    <row r="146" spans="1:9">
      <c r="A146" s="173">
        <v>53.3</v>
      </c>
      <c r="B146" s="177" t="s">
        <v>1083</v>
      </c>
      <c r="C146" s="173"/>
      <c r="D146" s="173"/>
      <c r="E146" s="179"/>
      <c r="F146" s="173"/>
      <c r="G146" s="173"/>
      <c r="H146" s="173"/>
      <c r="I146" s="172"/>
    </row>
    <row r="147" spans="1:9">
      <c r="A147" s="173"/>
      <c r="B147" s="179" t="s">
        <v>1084</v>
      </c>
      <c r="C147" s="173">
        <v>1</v>
      </c>
      <c r="D147" s="173">
        <v>1</v>
      </c>
      <c r="E147" s="179">
        <v>5</v>
      </c>
      <c r="F147" s="173"/>
      <c r="G147" s="173"/>
      <c r="H147" s="176">
        <f>PRODUCT(C147:G147)</f>
        <v>5</v>
      </c>
      <c r="I147" s="172"/>
    </row>
    <row r="148" spans="1:9">
      <c r="A148" s="173"/>
      <c r="B148" s="179"/>
      <c r="C148" s="173"/>
      <c r="D148" s="173"/>
      <c r="E148" s="179"/>
      <c r="F148" s="173"/>
      <c r="G148" s="173"/>
      <c r="H148" s="173"/>
      <c r="I148" s="172"/>
    </row>
    <row r="149" spans="1:9">
      <c r="A149" s="176">
        <v>18.100000000000001</v>
      </c>
      <c r="B149" s="177" t="s">
        <v>1085</v>
      </c>
      <c r="C149" s="173"/>
      <c r="D149" s="173"/>
      <c r="E149" s="179"/>
      <c r="F149" s="173"/>
      <c r="G149" s="173"/>
      <c r="H149" s="173"/>
      <c r="I149" s="172"/>
    </row>
    <row r="150" spans="1:9">
      <c r="A150" s="173"/>
      <c r="B150" s="179" t="s">
        <v>1086</v>
      </c>
      <c r="C150" s="173">
        <v>1</v>
      </c>
      <c r="D150" s="173">
        <v>1</v>
      </c>
      <c r="E150" s="618" t="s">
        <v>1055</v>
      </c>
      <c r="F150" s="618"/>
      <c r="G150" s="173"/>
      <c r="H150" s="182">
        <f>3.14*8.22</f>
        <v>25.81</v>
      </c>
      <c r="I150" s="172"/>
    </row>
    <row r="151" spans="1:9">
      <c r="A151" s="173"/>
      <c r="B151" s="179" t="s">
        <v>1087</v>
      </c>
      <c r="C151" s="173">
        <v>1</v>
      </c>
      <c r="D151" s="173">
        <v>1</v>
      </c>
      <c r="E151" s="618" t="s">
        <v>1055</v>
      </c>
      <c r="F151" s="618"/>
      <c r="G151" s="173"/>
      <c r="H151" s="182">
        <f>3.14*8.22</f>
        <v>25.81</v>
      </c>
      <c r="I151" s="172"/>
    </row>
    <row r="152" spans="1:9">
      <c r="A152" s="173"/>
      <c r="B152" s="179" t="s">
        <v>1088</v>
      </c>
      <c r="C152" s="173">
        <v>1</v>
      </c>
      <c r="D152" s="173">
        <v>1</v>
      </c>
      <c r="E152" s="619" t="s">
        <v>1058</v>
      </c>
      <c r="F152" s="620"/>
      <c r="G152" s="173">
        <v>0.15</v>
      </c>
      <c r="H152" s="182">
        <f>3.14*8.96*0.15</f>
        <v>4.22</v>
      </c>
      <c r="I152" s="172"/>
    </row>
    <row r="153" spans="1:9">
      <c r="A153" s="173"/>
      <c r="B153" s="179" t="s">
        <v>1089</v>
      </c>
      <c r="C153" s="173">
        <v>1</v>
      </c>
      <c r="D153" s="173">
        <v>2</v>
      </c>
      <c r="E153" s="618" t="s">
        <v>1090</v>
      </c>
      <c r="F153" s="618"/>
      <c r="G153" s="618"/>
      <c r="H153" s="182">
        <v>-0.72</v>
      </c>
      <c r="I153" s="172"/>
    </row>
    <row r="154" spans="1:9">
      <c r="A154" s="173"/>
      <c r="B154" s="179" t="s">
        <v>1091</v>
      </c>
      <c r="C154" s="173">
        <v>1</v>
      </c>
      <c r="D154" s="173">
        <v>1</v>
      </c>
      <c r="E154" s="179">
        <v>8.9600000000000009</v>
      </c>
      <c r="F154" s="173"/>
      <c r="G154" s="173">
        <v>1.1299999999999999</v>
      </c>
      <c r="H154" s="182">
        <f>PRODUCT(E154:G154)</f>
        <v>10.119999999999999</v>
      </c>
      <c r="I154" s="172"/>
    </row>
    <row r="155" spans="1:9">
      <c r="A155" s="173"/>
      <c r="B155" s="179" t="s">
        <v>1092</v>
      </c>
      <c r="C155" s="173">
        <v>1</v>
      </c>
      <c r="D155" s="173">
        <v>1</v>
      </c>
      <c r="E155" s="619" t="s">
        <v>1093</v>
      </c>
      <c r="F155" s="620"/>
      <c r="G155" s="173">
        <v>3.5</v>
      </c>
      <c r="H155" s="182">
        <f>3.14*0.45*0.45*3.5</f>
        <v>2.23</v>
      </c>
      <c r="I155" s="172"/>
    </row>
    <row r="156" spans="1:9">
      <c r="A156" s="173"/>
      <c r="B156" s="179"/>
      <c r="C156" s="173"/>
      <c r="D156" s="173"/>
      <c r="E156" s="179"/>
      <c r="F156" s="173"/>
      <c r="G156" s="173"/>
      <c r="H156" s="176">
        <f>SUM(H150:H155)</f>
        <v>67.47</v>
      </c>
      <c r="I156" s="172"/>
    </row>
    <row r="157" spans="1:9">
      <c r="A157" s="173"/>
      <c r="B157" s="179"/>
      <c r="C157" s="173"/>
      <c r="D157" s="173"/>
      <c r="E157" s="179"/>
      <c r="F157" s="176" t="s">
        <v>55</v>
      </c>
      <c r="G157" s="183">
        <f>ROUNDUP(H156,1)</f>
        <v>67.5</v>
      </c>
      <c r="H157" s="176" t="s">
        <v>1050</v>
      </c>
      <c r="I157" s="172"/>
    </row>
  </sheetData>
  <mergeCells count="16">
    <mergeCell ref="E30:F30"/>
    <mergeCell ref="A1:H1"/>
    <mergeCell ref="B2:G2"/>
    <mergeCell ref="C3:D3"/>
    <mergeCell ref="E28:F28"/>
    <mergeCell ref="E29:F29"/>
    <mergeCell ref="E151:F151"/>
    <mergeCell ref="E152:F152"/>
    <mergeCell ref="E153:G153"/>
    <mergeCell ref="E155:F155"/>
    <mergeCell ref="E31:F31"/>
    <mergeCell ref="E35:F35"/>
    <mergeCell ref="E36:F36"/>
    <mergeCell ref="E40:F40"/>
    <mergeCell ref="E41:F41"/>
    <mergeCell ref="E150:F150"/>
  </mergeCells>
  <pageMargins left="0.7" right="0.7" top="0.75" bottom="0.75" header="0.3" footer="0.3"/>
  <pageSetup paperSize="9" scale="71" orientation="portrait" r:id="rId1"/>
</worksheet>
</file>

<file path=xl/worksheets/sheet4.xml><?xml version="1.0" encoding="utf-8"?>
<worksheet xmlns="http://schemas.openxmlformats.org/spreadsheetml/2006/main" xmlns:r="http://schemas.openxmlformats.org/officeDocument/2006/relationships">
  <sheetPr>
    <tabColor rgb="FFFFFF00"/>
  </sheetPr>
  <dimension ref="A1:H32"/>
  <sheetViews>
    <sheetView view="pageBreakPreview" topLeftCell="A18" zoomScale="115" zoomScaleSheetLayoutView="115" workbookViewId="0">
      <selection activeCell="E34" sqref="E34"/>
    </sheetView>
  </sheetViews>
  <sheetFormatPr defaultRowHeight="15.75"/>
  <cols>
    <col min="1" max="1" width="8.88671875" style="203"/>
    <col min="2" max="2" width="23.77734375" style="203" customWidth="1"/>
    <col min="3" max="4" width="5.44140625" style="203" customWidth="1"/>
    <col min="5" max="5" width="6.33203125" style="203" bestFit="1" customWidth="1"/>
    <col min="6" max="6" width="5.44140625" style="203" customWidth="1"/>
    <col min="7" max="7" width="7" style="203" bestFit="1" customWidth="1"/>
    <col min="8" max="8" width="8.88671875" style="203"/>
  </cols>
  <sheetData>
    <row r="1" spans="1:8" ht="43.5" customHeight="1">
      <c r="A1" s="627" t="s">
        <v>1262</v>
      </c>
      <c r="B1" s="627"/>
      <c r="C1" s="627"/>
      <c r="D1" s="627"/>
      <c r="E1" s="627"/>
      <c r="F1" s="627"/>
      <c r="G1" s="627"/>
      <c r="H1" s="627"/>
    </row>
    <row r="2" spans="1:8" ht="27" customHeight="1">
      <c r="A2" s="199"/>
      <c r="B2" s="628" t="s">
        <v>1095</v>
      </c>
      <c r="C2" s="628"/>
      <c r="D2" s="628"/>
      <c r="E2" s="628"/>
      <c r="F2" s="628"/>
      <c r="G2" s="628"/>
      <c r="H2" s="628"/>
    </row>
    <row r="3" spans="1:8">
      <c r="A3" s="192" t="s">
        <v>1096</v>
      </c>
      <c r="B3" s="192" t="s">
        <v>33</v>
      </c>
      <c r="C3" s="626" t="s">
        <v>23</v>
      </c>
      <c r="D3" s="626"/>
      <c r="E3" s="193" t="s">
        <v>859</v>
      </c>
      <c r="F3" s="193" t="s">
        <v>25</v>
      </c>
      <c r="G3" s="193" t="s">
        <v>66</v>
      </c>
      <c r="H3" s="193" t="s">
        <v>18</v>
      </c>
    </row>
    <row r="4" spans="1:8" ht="29.25">
      <c r="A4" s="200">
        <v>1.5</v>
      </c>
      <c r="B4" s="194" t="s">
        <v>1094</v>
      </c>
      <c r="C4" s="201"/>
      <c r="D4" s="201"/>
      <c r="E4" s="201"/>
      <c r="F4" s="201"/>
      <c r="G4" s="201"/>
      <c r="H4" s="202"/>
    </row>
    <row r="5" spans="1:8">
      <c r="A5" s="200"/>
      <c r="B5" s="200" t="s">
        <v>1104</v>
      </c>
      <c r="C5" s="201">
        <v>1</v>
      </c>
      <c r="D5" s="201">
        <v>1</v>
      </c>
      <c r="E5" s="202">
        <v>152</v>
      </c>
      <c r="F5" s="202">
        <v>4.5</v>
      </c>
      <c r="G5" s="202">
        <v>0.35</v>
      </c>
      <c r="H5" s="202">
        <f>PRODUCT(C5:G5)</f>
        <v>239.4</v>
      </c>
    </row>
    <row r="6" spans="1:8">
      <c r="A6" s="200"/>
      <c r="B6" s="200"/>
      <c r="C6" s="201"/>
      <c r="D6" s="201"/>
      <c r="E6" s="202"/>
      <c r="F6" s="202"/>
      <c r="G6" s="202"/>
      <c r="H6" s="202">
        <f>SUM(H5:H5)</f>
        <v>239.4</v>
      </c>
    </row>
    <row r="7" spans="1:8">
      <c r="A7" s="200"/>
      <c r="B7" s="200"/>
      <c r="C7" s="201"/>
      <c r="D7" s="201"/>
      <c r="E7" s="202"/>
      <c r="F7" s="198" t="s">
        <v>55</v>
      </c>
      <c r="G7" s="203">
        <f>ROUNDUP(H6,1)</f>
        <v>239.4</v>
      </c>
      <c r="H7" s="198" t="s">
        <v>1021</v>
      </c>
    </row>
    <row r="8" spans="1:8" ht="43.5">
      <c r="A8" s="192">
        <v>2.1</v>
      </c>
      <c r="B8" s="194" t="s">
        <v>1098</v>
      </c>
      <c r="C8" s="201"/>
      <c r="D8" s="201"/>
      <c r="E8" s="202"/>
      <c r="F8" s="202"/>
      <c r="G8" s="202"/>
      <c r="H8" s="198"/>
    </row>
    <row r="9" spans="1:8">
      <c r="A9" s="200"/>
      <c r="B9" s="200" t="s">
        <v>1104</v>
      </c>
      <c r="C9" s="201">
        <v>1</v>
      </c>
      <c r="D9" s="201">
        <v>1</v>
      </c>
      <c r="E9" s="202">
        <v>152</v>
      </c>
      <c r="F9" s="202">
        <v>4.5</v>
      </c>
      <c r="G9" s="202">
        <v>0.15</v>
      </c>
      <c r="H9" s="202">
        <f>PRODUCT(C9:G9)</f>
        <v>102.6</v>
      </c>
    </row>
    <row r="10" spans="1:8">
      <c r="A10" s="200"/>
      <c r="B10" s="200"/>
      <c r="C10" s="201"/>
      <c r="D10" s="201"/>
      <c r="E10" s="202"/>
      <c r="F10" s="202"/>
      <c r="G10" s="202"/>
      <c r="H10" s="198">
        <f>SUM(H9:H9)</f>
        <v>102.6</v>
      </c>
    </row>
    <row r="11" spans="1:8">
      <c r="A11" s="200"/>
      <c r="B11" s="200"/>
      <c r="C11" s="201"/>
      <c r="D11" s="201"/>
      <c r="E11" s="202"/>
      <c r="F11" s="198" t="s">
        <v>55</v>
      </c>
      <c r="G11" s="203">
        <f>ROUNDUP(H10,1)</f>
        <v>102.6</v>
      </c>
      <c r="H11" s="198" t="s">
        <v>1021</v>
      </c>
    </row>
    <row r="12" spans="1:8">
      <c r="A12" s="192">
        <v>3.1</v>
      </c>
      <c r="B12" s="194" t="s">
        <v>1099</v>
      </c>
      <c r="C12" s="201"/>
      <c r="D12" s="201"/>
      <c r="E12" s="202"/>
      <c r="F12" s="202"/>
      <c r="G12" s="202"/>
      <c r="H12" s="198"/>
    </row>
    <row r="13" spans="1:8">
      <c r="A13" s="200"/>
      <c r="B13" s="200" t="s">
        <v>1104</v>
      </c>
      <c r="C13" s="201">
        <v>1</v>
      </c>
      <c r="D13" s="201">
        <v>1</v>
      </c>
      <c r="E13" s="202">
        <v>152</v>
      </c>
      <c r="F13" s="202">
        <v>4.5</v>
      </c>
      <c r="G13" s="202">
        <v>0.15</v>
      </c>
      <c r="H13" s="202">
        <f>PRODUCT(C13:G13)</f>
        <v>102.6</v>
      </c>
    </row>
    <row r="14" spans="1:8">
      <c r="A14" s="200"/>
      <c r="B14" s="200"/>
      <c r="C14" s="201"/>
      <c r="D14" s="201"/>
      <c r="E14" s="202"/>
      <c r="F14" s="202"/>
      <c r="G14" s="202"/>
      <c r="H14" s="198">
        <f>SUM(H13:H13)</f>
        <v>102.6</v>
      </c>
    </row>
    <row r="15" spans="1:8">
      <c r="A15" s="200"/>
      <c r="B15" s="200"/>
      <c r="C15" s="201"/>
      <c r="D15" s="201"/>
      <c r="E15" s="202"/>
      <c r="F15" s="198" t="s">
        <v>55</v>
      </c>
      <c r="G15" s="203">
        <f>ROUNDUP(H14,1)</f>
        <v>102.6</v>
      </c>
      <c r="H15" s="198" t="s">
        <v>1021</v>
      </c>
    </row>
    <row r="16" spans="1:8" ht="29.25">
      <c r="A16" s="192">
        <v>3.2</v>
      </c>
      <c r="B16" s="194" t="s">
        <v>1100</v>
      </c>
      <c r="C16" s="201"/>
      <c r="D16" s="201"/>
      <c r="E16" s="202"/>
      <c r="F16" s="202"/>
      <c r="G16" s="202"/>
      <c r="H16" s="198"/>
    </row>
    <row r="17" spans="1:8">
      <c r="A17" s="200"/>
      <c r="B17" s="200" t="s">
        <v>1104</v>
      </c>
      <c r="C17" s="201">
        <v>1</v>
      </c>
      <c r="D17" s="201">
        <v>1</v>
      </c>
      <c r="E17" s="202">
        <v>152</v>
      </c>
      <c r="F17" s="202">
        <v>4.5</v>
      </c>
      <c r="G17" s="301">
        <v>7.4999999999999997E-2</v>
      </c>
      <c r="H17" s="202">
        <f>PRODUCT(C17:G17)</f>
        <v>51.3</v>
      </c>
    </row>
    <row r="18" spans="1:8">
      <c r="A18" s="200"/>
      <c r="B18" s="200"/>
      <c r="C18" s="201"/>
      <c r="D18" s="201"/>
      <c r="E18" s="202"/>
      <c r="F18" s="202"/>
      <c r="G18" s="202"/>
      <c r="H18" s="198">
        <f>SUM(H17:H17)</f>
        <v>51.3</v>
      </c>
    </row>
    <row r="19" spans="1:8">
      <c r="A19" s="200"/>
      <c r="B19" s="200"/>
      <c r="C19" s="201"/>
      <c r="D19" s="201"/>
      <c r="E19" s="202"/>
      <c r="F19" s="198" t="s">
        <v>55</v>
      </c>
      <c r="G19" s="203">
        <f>ROUNDUP(H18,1)</f>
        <v>51.3</v>
      </c>
      <c r="H19" s="198" t="s">
        <v>1021</v>
      </c>
    </row>
    <row r="20" spans="1:8" ht="29.25">
      <c r="A20" s="192">
        <v>7.2</v>
      </c>
      <c r="B20" s="194" t="s">
        <v>1101</v>
      </c>
      <c r="C20" s="201"/>
      <c r="D20" s="201"/>
      <c r="E20" s="202"/>
      <c r="F20" s="202"/>
      <c r="G20" s="202"/>
      <c r="H20" s="198"/>
    </row>
    <row r="21" spans="1:8">
      <c r="A21" s="200"/>
      <c r="B21" s="200" t="s">
        <v>1104</v>
      </c>
      <c r="C21" s="201">
        <v>1</v>
      </c>
      <c r="D21" s="201">
        <v>1</v>
      </c>
      <c r="E21" s="202">
        <v>50</v>
      </c>
      <c r="F21" s="202"/>
      <c r="G21" s="202">
        <v>0.25</v>
      </c>
      <c r="H21" s="202">
        <f>PRODUCT(C21:G21)</f>
        <v>12.5</v>
      </c>
    </row>
    <row r="22" spans="1:8">
      <c r="A22" s="200"/>
      <c r="B22" s="200"/>
      <c r="C22" s="201"/>
      <c r="D22" s="201"/>
      <c r="E22" s="202"/>
      <c r="F22" s="202"/>
      <c r="G22" s="202"/>
      <c r="H22" s="198">
        <f>SUM(H21:H21)</f>
        <v>12.5</v>
      </c>
    </row>
    <row r="23" spans="1:8">
      <c r="A23" s="200"/>
      <c r="B23" s="200"/>
      <c r="C23" s="201"/>
      <c r="D23" s="201"/>
      <c r="E23" s="202"/>
      <c r="F23" s="198" t="s">
        <v>55</v>
      </c>
      <c r="G23" s="203">
        <f>ROUNDUP(H22,1)</f>
        <v>12.5</v>
      </c>
      <c r="H23" s="198" t="s">
        <v>1050</v>
      </c>
    </row>
    <row r="24" spans="1:8">
      <c r="A24" s="200"/>
      <c r="B24" s="200"/>
      <c r="C24" s="201"/>
      <c r="D24" s="201"/>
      <c r="E24" s="202"/>
      <c r="F24" s="202"/>
      <c r="G24" s="202"/>
      <c r="H24" s="198"/>
    </row>
    <row r="25" spans="1:8">
      <c r="A25" s="192">
        <v>41</v>
      </c>
      <c r="B25" s="192" t="s">
        <v>1102</v>
      </c>
      <c r="C25" s="201"/>
      <c r="D25" s="201"/>
      <c r="E25" s="202"/>
      <c r="F25" s="202"/>
      <c r="G25" s="202"/>
      <c r="H25" s="198"/>
    </row>
    <row r="26" spans="1:8">
      <c r="A26" s="200"/>
      <c r="B26" s="200" t="s">
        <v>1104</v>
      </c>
      <c r="C26" s="201">
        <v>2</v>
      </c>
      <c r="D26" s="201">
        <v>1</v>
      </c>
      <c r="E26" s="202">
        <v>152</v>
      </c>
      <c r="F26" s="202"/>
      <c r="G26" s="202">
        <v>0.3</v>
      </c>
      <c r="H26" s="202">
        <f>PRODUCT(C26:G26)</f>
        <v>91.2</v>
      </c>
    </row>
    <row r="27" spans="1:8">
      <c r="A27" s="200"/>
      <c r="B27" s="200"/>
      <c r="C27" s="201"/>
      <c r="D27" s="201"/>
      <c r="E27" s="202"/>
      <c r="F27" s="202"/>
      <c r="G27" s="202"/>
      <c r="H27" s="198">
        <f>SUM(H26:H26)</f>
        <v>91.2</v>
      </c>
    </row>
    <row r="28" spans="1:8">
      <c r="A28" s="200"/>
      <c r="B28" s="200"/>
      <c r="C28" s="201"/>
      <c r="D28" s="201"/>
      <c r="E28" s="202"/>
      <c r="F28" s="198" t="s">
        <v>55</v>
      </c>
      <c r="G28" s="203">
        <f>ROUNDUP(H27,1)</f>
        <v>91.2</v>
      </c>
      <c r="H28" s="198" t="s">
        <v>1050</v>
      </c>
    </row>
    <row r="29" spans="1:8" ht="29.25">
      <c r="A29" s="192">
        <v>50.2</v>
      </c>
      <c r="B29" s="194" t="s">
        <v>1103</v>
      </c>
      <c r="C29" s="201"/>
      <c r="D29" s="201"/>
      <c r="E29" s="202"/>
      <c r="F29" s="202"/>
      <c r="G29" s="202"/>
      <c r="H29" s="198"/>
    </row>
    <row r="30" spans="1:8">
      <c r="A30" s="200"/>
      <c r="B30" s="200" t="s">
        <v>1097</v>
      </c>
      <c r="C30" s="201">
        <v>2</v>
      </c>
      <c r="D30" s="201">
        <v>1</v>
      </c>
      <c r="E30" s="202">
        <v>152</v>
      </c>
      <c r="F30" s="202"/>
      <c r="G30" s="202"/>
      <c r="H30" s="202">
        <f>PRODUCT(C30:G30)</f>
        <v>304</v>
      </c>
    </row>
    <row r="31" spans="1:8">
      <c r="A31" s="200"/>
      <c r="B31" s="200"/>
      <c r="C31" s="201"/>
      <c r="D31" s="201"/>
      <c r="E31" s="202"/>
      <c r="F31" s="202"/>
      <c r="G31" s="202"/>
      <c r="H31" s="198">
        <f>SUM(H30:H30)</f>
        <v>304</v>
      </c>
    </row>
    <row r="32" spans="1:8">
      <c r="A32" s="200"/>
      <c r="B32" s="200"/>
      <c r="C32" s="201"/>
      <c r="D32" s="201"/>
      <c r="E32" s="202"/>
      <c r="F32" s="198" t="s">
        <v>55</v>
      </c>
      <c r="G32" s="203">
        <f>ROUNDUP(H31,1)</f>
        <v>304</v>
      </c>
      <c r="H32" s="198" t="s">
        <v>1050</v>
      </c>
    </row>
  </sheetData>
  <mergeCells count="3">
    <mergeCell ref="A1:H1"/>
    <mergeCell ref="B2:H2"/>
    <mergeCell ref="C3:D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H10"/>
  <sheetViews>
    <sheetView view="pageBreakPreview" zoomScale="85" zoomScaleSheetLayoutView="85" workbookViewId="0">
      <selection activeCell="B4" sqref="B4"/>
    </sheetView>
  </sheetViews>
  <sheetFormatPr defaultRowHeight="15.75"/>
  <cols>
    <col min="1" max="1" width="5.5546875" customWidth="1"/>
    <col min="2" max="2" width="39.88671875" customWidth="1"/>
    <col min="3" max="4" width="6.33203125" customWidth="1"/>
    <col min="5" max="7" width="6.5546875" customWidth="1"/>
  </cols>
  <sheetData>
    <row r="1" spans="1:8" ht="39" customHeight="1">
      <c r="A1" s="627" t="s">
        <v>997</v>
      </c>
      <c r="B1" s="627"/>
      <c r="C1" s="627"/>
      <c r="D1" s="627"/>
      <c r="E1" s="627"/>
      <c r="F1" s="627"/>
      <c r="G1" s="627"/>
      <c r="H1" s="627"/>
    </row>
    <row r="2" spans="1:8" ht="27" customHeight="1">
      <c r="A2" s="199"/>
      <c r="B2" s="628" t="s">
        <v>1179</v>
      </c>
      <c r="C2" s="628"/>
      <c r="D2" s="628"/>
      <c r="E2" s="628"/>
      <c r="F2" s="628"/>
      <c r="G2" s="628"/>
      <c r="H2" s="628"/>
    </row>
    <row r="3" spans="1:8">
      <c r="A3" s="192" t="s">
        <v>1096</v>
      </c>
      <c r="B3" s="192" t="s">
        <v>33</v>
      </c>
      <c r="C3" s="626" t="s">
        <v>23</v>
      </c>
      <c r="D3" s="626"/>
      <c r="E3" s="193" t="s">
        <v>859</v>
      </c>
      <c r="F3" s="193" t="s">
        <v>25</v>
      </c>
      <c r="G3" s="193" t="s">
        <v>66</v>
      </c>
      <c r="H3" s="193" t="s">
        <v>18</v>
      </c>
    </row>
    <row r="4" spans="1:8" ht="143.25">
      <c r="A4" s="200">
        <v>1.5</v>
      </c>
      <c r="B4" s="197" t="s">
        <v>1180</v>
      </c>
      <c r="C4" s="201"/>
      <c r="D4" s="201"/>
      <c r="E4" s="201"/>
      <c r="F4" s="201"/>
      <c r="G4" s="201"/>
      <c r="H4" s="202"/>
    </row>
    <row r="5" spans="1:8">
      <c r="A5" s="200"/>
      <c r="B5" s="200" t="s">
        <v>1181</v>
      </c>
      <c r="C5" s="201">
        <v>1</v>
      </c>
      <c r="D5" s="201">
        <v>1</v>
      </c>
      <c r="E5" s="202">
        <v>1</v>
      </c>
      <c r="F5" s="202"/>
      <c r="G5" s="202"/>
      <c r="H5" s="202">
        <f>PRODUCT(C5:G5)</f>
        <v>1</v>
      </c>
    </row>
    <row r="6" spans="1:8">
      <c r="A6" s="200"/>
      <c r="B6" s="200"/>
      <c r="C6" s="201"/>
      <c r="D6" s="201"/>
      <c r="E6" s="202"/>
      <c r="F6" s="202"/>
      <c r="G6" s="202"/>
      <c r="H6" s="202">
        <f>SUM(H5:H5)</f>
        <v>1</v>
      </c>
    </row>
    <row r="7" spans="1:8">
      <c r="A7" s="200"/>
      <c r="B7" s="200"/>
      <c r="C7" s="201"/>
      <c r="D7" s="201"/>
      <c r="E7" s="202"/>
      <c r="F7" s="198" t="s">
        <v>55</v>
      </c>
      <c r="G7" s="203">
        <f>ROUNDUP(H6,1)</f>
        <v>1</v>
      </c>
      <c r="H7" s="198" t="s">
        <v>59</v>
      </c>
    </row>
    <row r="8" spans="1:8">
      <c r="A8" s="192"/>
      <c r="B8" s="194"/>
      <c r="C8" s="201"/>
      <c r="D8" s="201"/>
      <c r="E8" s="202"/>
      <c r="F8" s="202"/>
      <c r="G8" s="202"/>
      <c r="H8" s="198"/>
    </row>
    <row r="9" spans="1:8">
      <c r="A9" s="200"/>
      <c r="B9" s="200"/>
      <c r="C9" s="201"/>
      <c r="D9" s="201"/>
      <c r="E9" s="202"/>
      <c r="F9" s="202"/>
      <c r="G9" s="202"/>
      <c r="H9" s="202"/>
    </row>
    <row r="10" spans="1:8">
      <c r="A10" s="200"/>
      <c r="B10" s="200"/>
      <c r="C10" s="201"/>
      <c r="D10" s="201"/>
      <c r="E10" s="202"/>
      <c r="F10" s="202"/>
      <c r="G10" s="202"/>
      <c r="H10" s="198"/>
    </row>
  </sheetData>
  <mergeCells count="3">
    <mergeCell ref="A1:H1"/>
    <mergeCell ref="B2:H2"/>
    <mergeCell ref="C3:D3"/>
  </mergeCells>
  <pageMargins left="0.7" right="0.7" top="0.75" bottom="0.75" header="0.3" footer="0.3"/>
  <pageSetup paperSize="9" scale="84" orientation="portrait" r:id="rId1"/>
</worksheet>
</file>

<file path=xl/worksheets/sheet6.xml><?xml version="1.0" encoding="utf-8"?>
<worksheet xmlns="http://schemas.openxmlformats.org/spreadsheetml/2006/main" xmlns:r="http://schemas.openxmlformats.org/officeDocument/2006/relationships">
  <sheetPr>
    <tabColor rgb="FFFFFF00"/>
  </sheetPr>
  <dimension ref="A1:S64"/>
  <sheetViews>
    <sheetView view="pageBreakPreview" topLeftCell="A53" zoomScale="85" zoomScaleSheetLayoutView="85" workbookViewId="0">
      <selection activeCell="I52" sqref="I52"/>
    </sheetView>
  </sheetViews>
  <sheetFormatPr defaultRowHeight="18.75"/>
  <cols>
    <col min="1" max="1" width="3" style="238" customWidth="1"/>
    <col min="2" max="2" width="19.5546875" style="204" customWidth="1"/>
    <col min="3" max="3" width="2.6640625" style="204" customWidth="1"/>
    <col min="4" max="4" width="30.109375" style="204" customWidth="1"/>
    <col min="5" max="5" width="3.5546875" style="238" customWidth="1"/>
    <col min="6" max="8" width="2.21875" style="238" customWidth="1"/>
    <col min="9" max="9" width="3.6640625" style="240" customWidth="1"/>
    <col min="10" max="10" width="8.6640625" style="204" customWidth="1"/>
    <col min="11" max="11" width="5.21875" style="204" customWidth="1"/>
    <col min="12" max="12" width="7.33203125" style="204" customWidth="1"/>
    <col min="13" max="13" width="9.44140625" style="241" customWidth="1"/>
    <col min="14" max="14" width="4.6640625" style="242" customWidth="1"/>
    <col min="15" max="15" width="7.21875" style="204" bestFit="1" customWidth="1"/>
    <col min="16" max="16" width="11" style="204" customWidth="1"/>
    <col min="17" max="259" width="8.88671875" style="204"/>
    <col min="260" max="260" width="4.21875" style="204" customWidth="1"/>
    <col min="261" max="261" width="39.6640625" style="204" customWidth="1"/>
    <col min="262" max="262" width="3.21875" style="204" customWidth="1"/>
    <col min="263" max="263" width="2" style="204" customWidth="1"/>
    <col min="264" max="264" width="4" style="204" customWidth="1"/>
    <col min="265" max="266" width="7.5546875" style="204" customWidth="1"/>
    <col min="267" max="267" width="6.21875" style="204" customWidth="1"/>
    <col min="268" max="268" width="8.5546875" style="204" customWidth="1"/>
    <col min="269" max="269" width="4.21875" style="204" customWidth="1"/>
    <col min="270" max="271" width="8.88671875" style="204"/>
    <col min="272" max="272" width="11" style="204" customWidth="1"/>
    <col min="273" max="515" width="8.88671875" style="204"/>
    <col min="516" max="516" width="4.21875" style="204" customWidth="1"/>
    <col min="517" max="517" width="39.6640625" style="204" customWidth="1"/>
    <col min="518" max="518" width="3.21875" style="204" customWidth="1"/>
    <col min="519" max="519" width="2" style="204" customWidth="1"/>
    <col min="520" max="520" width="4" style="204" customWidth="1"/>
    <col min="521" max="522" width="7.5546875" style="204" customWidth="1"/>
    <col min="523" max="523" width="6.21875" style="204" customWidth="1"/>
    <col min="524" max="524" width="8.5546875" style="204" customWidth="1"/>
    <col min="525" max="525" width="4.21875" style="204" customWidth="1"/>
    <col min="526" max="527" width="8.88671875" style="204"/>
    <col min="528" max="528" width="11" style="204" customWidth="1"/>
    <col min="529" max="771" width="8.88671875" style="204"/>
    <col min="772" max="772" width="4.21875" style="204" customWidth="1"/>
    <col min="773" max="773" width="39.6640625" style="204" customWidth="1"/>
    <col min="774" max="774" width="3.21875" style="204" customWidth="1"/>
    <col min="775" max="775" width="2" style="204" customWidth="1"/>
    <col min="776" max="776" width="4" style="204" customWidth="1"/>
    <col min="777" max="778" width="7.5546875" style="204" customWidth="1"/>
    <col min="779" max="779" width="6.21875" style="204" customWidth="1"/>
    <col min="780" max="780" width="8.5546875" style="204" customWidth="1"/>
    <col min="781" max="781" width="4.21875" style="204" customWidth="1"/>
    <col min="782" max="783" width="8.88671875" style="204"/>
    <col min="784" max="784" width="11" style="204" customWidth="1"/>
    <col min="785" max="1027" width="8.88671875" style="204"/>
    <col min="1028" max="1028" width="4.21875" style="204" customWidth="1"/>
    <col min="1029" max="1029" width="39.6640625" style="204" customWidth="1"/>
    <col min="1030" max="1030" width="3.21875" style="204" customWidth="1"/>
    <col min="1031" max="1031" width="2" style="204" customWidth="1"/>
    <col min="1032" max="1032" width="4" style="204" customWidth="1"/>
    <col min="1033" max="1034" width="7.5546875" style="204" customWidth="1"/>
    <col min="1035" max="1035" width="6.21875" style="204" customWidth="1"/>
    <col min="1036" max="1036" width="8.5546875" style="204" customWidth="1"/>
    <col min="1037" max="1037" width="4.21875" style="204" customWidth="1"/>
    <col min="1038" max="1039" width="8.88671875" style="204"/>
    <col min="1040" max="1040" width="11" style="204" customWidth="1"/>
    <col min="1041" max="1283" width="8.88671875" style="204"/>
    <col min="1284" max="1284" width="4.21875" style="204" customWidth="1"/>
    <col min="1285" max="1285" width="39.6640625" style="204" customWidth="1"/>
    <col min="1286" max="1286" width="3.21875" style="204" customWidth="1"/>
    <col min="1287" max="1287" width="2" style="204" customWidth="1"/>
    <col min="1288" max="1288" width="4" style="204" customWidth="1"/>
    <col min="1289" max="1290" width="7.5546875" style="204" customWidth="1"/>
    <col min="1291" max="1291" width="6.21875" style="204" customWidth="1"/>
    <col min="1292" max="1292" width="8.5546875" style="204" customWidth="1"/>
    <col min="1293" max="1293" width="4.21875" style="204" customWidth="1"/>
    <col min="1294" max="1295" width="8.88671875" style="204"/>
    <col min="1296" max="1296" width="11" style="204" customWidth="1"/>
    <col min="1297" max="1539" width="8.88671875" style="204"/>
    <col min="1540" max="1540" width="4.21875" style="204" customWidth="1"/>
    <col min="1541" max="1541" width="39.6640625" style="204" customWidth="1"/>
    <col min="1542" max="1542" width="3.21875" style="204" customWidth="1"/>
    <col min="1543" max="1543" width="2" style="204" customWidth="1"/>
    <col min="1544" max="1544" width="4" style="204" customWidth="1"/>
    <col min="1545" max="1546" width="7.5546875" style="204" customWidth="1"/>
    <col min="1547" max="1547" width="6.21875" style="204" customWidth="1"/>
    <col min="1548" max="1548" width="8.5546875" style="204" customWidth="1"/>
    <col min="1549" max="1549" width="4.21875" style="204" customWidth="1"/>
    <col min="1550" max="1551" width="8.88671875" style="204"/>
    <col min="1552" max="1552" width="11" style="204" customWidth="1"/>
    <col min="1553" max="1795" width="8.88671875" style="204"/>
    <col min="1796" max="1796" width="4.21875" style="204" customWidth="1"/>
    <col min="1797" max="1797" width="39.6640625" style="204" customWidth="1"/>
    <col min="1798" max="1798" width="3.21875" style="204" customWidth="1"/>
    <col min="1799" max="1799" width="2" style="204" customWidth="1"/>
    <col min="1800" max="1800" width="4" style="204" customWidth="1"/>
    <col min="1801" max="1802" width="7.5546875" style="204" customWidth="1"/>
    <col min="1803" max="1803" width="6.21875" style="204" customWidth="1"/>
    <col min="1804" max="1804" width="8.5546875" style="204" customWidth="1"/>
    <col min="1805" max="1805" width="4.21875" style="204" customWidth="1"/>
    <col min="1806" max="1807" width="8.88671875" style="204"/>
    <col min="1808" max="1808" width="11" style="204" customWidth="1"/>
    <col min="1809" max="2051" width="8.88671875" style="204"/>
    <col min="2052" max="2052" width="4.21875" style="204" customWidth="1"/>
    <col min="2053" max="2053" width="39.6640625" style="204" customWidth="1"/>
    <col min="2054" max="2054" width="3.21875" style="204" customWidth="1"/>
    <col min="2055" max="2055" width="2" style="204" customWidth="1"/>
    <col min="2056" max="2056" width="4" style="204" customWidth="1"/>
    <col min="2057" max="2058" width="7.5546875" style="204" customWidth="1"/>
    <col min="2059" max="2059" width="6.21875" style="204" customWidth="1"/>
    <col min="2060" max="2060" width="8.5546875" style="204" customWidth="1"/>
    <col min="2061" max="2061" width="4.21875" style="204" customWidth="1"/>
    <col min="2062" max="2063" width="8.88671875" style="204"/>
    <col min="2064" max="2064" width="11" style="204" customWidth="1"/>
    <col min="2065" max="2307" width="8.88671875" style="204"/>
    <col min="2308" max="2308" width="4.21875" style="204" customWidth="1"/>
    <col min="2309" max="2309" width="39.6640625" style="204" customWidth="1"/>
    <col min="2310" max="2310" width="3.21875" style="204" customWidth="1"/>
    <col min="2311" max="2311" width="2" style="204" customWidth="1"/>
    <col min="2312" max="2312" width="4" style="204" customWidth="1"/>
    <col min="2313" max="2314" width="7.5546875" style="204" customWidth="1"/>
    <col min="2315" max="2315" width="6.21875" style="204" customWidth="1"/>
    <col min="2316" max="2316" width="8.5546875" style="204" customWidth="1"/>
    <col min="2317" max="2317" width="4.21875" style="204" customWidth="1"/>
    <col min="2318" max="2319" width="8.88671875" style="204"/>
    <col min="2320" max="2320" width="11" style="204" customWidth="1"/>
    <col min="2321" max="2563" width="8.88671875" style="204"/>
    <col min="2564" max="2564" width="4.21875" style="204" customWidth="1"/>
    <col min="2565" max="2565" width="39.6640625" style="204" customWidth="1"/>
    <col min="2566" max="2566" width="3.21875" style="204" customWidth="1"/>
    <col min="2567" max="2567" width="2" style="204" customWidth="1"/>
    <col min="2568" max="2568" width="4" style="204" customWidth="1"/>
    <col min="2569" max="2570" width="7.5546875" style="204" customWidth="1"/>
    <col min="2571" max="2571" width="6.21875" style="204" customWidth="1"/>
    <col min="2572" max="2572" width="8.5546875" style="204" customWidth="1"/>
    <col min="2573" max="2573" width="4.21875" style="204" customWidth="1"/>
    <col min="2574" max="2575" width="8.88671875" style="204"/>
    <col min="2576" max="2576" width="11" style="204" customWidth="1"/>
    <col min="2577" max="2819" width="8.88671875" style="204"/>
    <col min="2820" max="2820" width="4.21875" style="204" customWidth="1"/>
    <col min="2821" max="2821" width="39.6640625" style="204" customWidth="1"/>
    <col min="2822" max="2822" width="3.21875" style="204" customWidth="1"/>
    <col min="2823" max="2823" width="2" style="204" customWidth="1"/>
    <col min="2824" max="2824" width="4" style="204" customWidth="1"/>
    <col min="2825" max="2826" width="7.5546875" style="204" customWidth="1"/>
    <col min="2827" max="2827" width="6.21875" style="204" customWidth="1"/>
    <col min="2828" max="2828" width="8.5546875" style="204" customWidth="1"/>
    <col min="2829" max="2829" width="4.21875" style="204" customWidth="1"/>
    <col min="2830" max="2831" width="8.88671875" style="204"/>
    <col min="2832" max="2832" width="11" style="204" customWidth="1"/>
    <col min="2833" max="3075" width="8.88671875" style="204"/>
    <col min="3076" max="3076" width="4.21875" style="204" customWidth="1"/>
    <col min="3077" max="3077" width="39.6640625" style="204" customWidth="1"/>
    <col min="3078" max="3078" width="3.21875" style="204" customWidth="1"/>
    <col min="3079" max="3079" width="2" style="204" customWidth="1"/>
    <col min="3080" max="3080" width="4" style="204" customWidth="1"/>
    <col min="3081" max="3082" width="7.5546875" style="204" customWidth="1"/>
    <col min="3083" max="3083" width="6.21875" style="204" customWidth="1"/>
    <col min="3084" max="3084" width="8.5546875" style="204" customWidth="1"/>
    <col min="3085" max="3085" width="4.21875" style="204" customWidth="1"/>
    <col min="3086" max="3087" width="8.88671875" style="204"/>
    <col min="3088" max="3088" width="11" style="204" customWidth="1"/>
    <col min="3089" max="3331" width="8.88671875" style="204"/>
    <col min="3332" max="3332" width="4.21875" style="204" customWidth="1"/>
    <col min="3333" max="3333" width="39.6640625" style="204" customWidth="1"/>
    <col min="3334" max="3334" width="3.21875" style="204" customWidth="1"/>
    <col min="3335" max="3335" width="2" style="204" customWidth="1"/>
    <col min="3336" max="3336" width="4" style="204" customWidth="1"/>
    <col min="3337" max="3338" width="7.5546875" style="204" customWidth="1"/>
    <col min="3339" max="3339" width="6.21875" style="204" customWidth="1"/>
    <col min="3340" max="3340" width="8.5546875" style="204" customWidth="1"/>
    <col min="3341" max="3341" width="4.21875" style="204" customWidth="1"/>
    <col min="3342" max="3343" width="8.88671875" style="204"/>
    <col min="3344" max="3344" width="11" style="204" customWidth="1"/>
    <col min="3345" max="3587" width="8.88671875" style="204"/>
    <col min="3588" max="3588" width="4.21875" style="204" customWidth="1"/>
    <col min="3589" max="3589" width="39.6640625" style="204" customWidth="1"/>
    <col min="3590" max="3590" width="3.21875" style="204" customWidth="1"/>
    <col min="3591" max="3591" width="2" style="204" customWidth="1"/>
    <col min="3592" max="3592" width="4" style="204" customWidth="1"/>
    <col min="3593" max="3594" width="7.5546875" style="204" customWidth="1"/>
    <col min="3595" max="3595" width="6.21875" style="204" customWidth="1"/>
    <col min="3596" max="3596" width="8.5546875" style="204" customWidth="1"/>
    <col min="3597" max="3597" width="4.21875" style="204" customWidth="1"/>
    <col min="3598" max="3599" width="8.88671875" style="204"/>
    <col min="3600" max="3600" width="11" style="204" customWidth="1"/>
    <col min="3601" max="3843" width="8.88671875" style="204"/>
    <col min="3844" max="3844" width="4.21875" style="204" customWidth="1"/>
    <col min="3845" max="3845" width="39.6640625" style="204" customWidth="1"/>
    <col min="3846" max="3846" width="3.21875" style="204" customWidth="1"/>
    <col min="3847" max="3847" width="2" style="204" customWidth="1"/>
    <col min="3848" max="3848" width="4" style="204" customWidth="1"/>
    <col min="3849" max="3850" width="7.5546875" style="204" customWidth="1"/>
    <col min="3851" max="3851" width="6.21875" style="204" customWidth="1"/>
    <col min="3852" max="3852" width="8.5546875" style="204" customWidth="1"/>
    <col min="3853" max="3853" width="4.21875" style="204" customWidth="1"/>
    <col min="3854" max="3855" width="8.88671875" style="204"/>
    <col min="3856" max="3856" width="11" style="204" customWidth="1"/>
    <col min="3857" max="4099" width="8.88671875" style="204"/>
    <col min="4100" max="4100" width="4.21875" style="204" customWidth="1"/>
    <col min="4101" max="4101" width="39.6640625" style="204" customWidth="1"/>
    <col min="4102" max="4102" width="3.21875" style="204" customWidth="1"/>
    <col min="4103" max="4103" width="2" style="204" customWidth="1"/>
    <col min="4104" max="4104" width="4" style="204" customWidth="1"/>
    <col min="4105" max="4106" width="7.5546875" style="204" customWidth="1"/>
    <col min="4107" max="4107" width="6.21875" style="204" customWidth="1"/>
    <col min="4108" max="4108" width="8.5546875" style="204" customWidth="1"/>
    <col min="4109" max="4109" width="4.21875" style="204" customWidth="1"/>
    <col min="4110" max="4111" width="8.88671875" style="204"/>
    <col min="4112" max="4112" width="11" style="204" customWidth="1"/>
    <col min="4113" max="4355" width="8.88671875" style="204"/>
    <col min="4356" max="4356" width="4.21875" style="204" customWidth="1"/>
    <col min="4357" max="4357" width="39.6640625" style="204" customWidth="1"/>
    <col min="4358" max="4358" width="3.21875" style="204" customWidth="1"/>
    <col min="4359" max="4359" width="2" style="204" customWidth="1"/>
    <col min="4360" max="4360" width="4" style="204" customWidth="1"/>
    <col min="4361" max="4362" width="7.5546875" style="204" customWidth="1"/>
    <col min="4363" max="4363" width="6.21875" style="204" customWidth="1"/>
    <col min="4364" max="4364" width="8.5546875" style="204" customWidth="1"/>
    <col min="4365" max="4365" width="4.21875" style="204" customWidth="1"/>
    <col min="4366" max="4367" width="8.88671875" style="204"/>
    <col min="4368" max="4368" width="11" style="204" customWidth="1"/>
    <col min="4369" max="4611" width="8.88671875" style="204"/>
    <col min="4612" max="4612" width="4.21875" style="204" customWidth="1"/>
    <col min="4613" max="4613" width="39.6640625" style="204" customWidth="1"/>
    <col min="4614" max="4614" width="3.21875" style="204" customWidth="1"/>
    <col min="4615" max="4615" width="2" style="204" customWidth="1"/>
    <col min="4616" max="4616" width="4" style="204" customWidth="1"/>
    <col min="4617" max="4618" width="7.5546875" style="204" customWidth="1"/>
    <col min="4619" max="4619" width="6.21875" style="204" customWidth="1"/>
    <col min="4620" max="4620" width="8.5546875" style="204" customWidth="1"/>
    <col min="4621" max="4621" width="4.21875" style="204" customWidth="1"/>
    <col min="4622" max="4623" width="8.88671875" style="204"/>
    <col min="4624" max="4624" width="11" style="204" customWidth="1"/>
    <col min="4625" max="4867" width="8.88671875" style="204"/>
    <col min="4868" max="4868" width="4.21875" style="204" customWidth="1"/>
    <col min="4869" max="4869" width="39.6640625" style="204" customWidth="1"/>
    <col min="4870" max="4870" width="3.21875" style="204" customWidth="1"/>
    <col min="4871" max="4871" width="2" style="204" customWidth="1"/>
    <col min="4872" max="4872" width="4" style="204" customWidth="1"/>
    <col min="4873" max="4874" width="7.5546875" style="204" customWidth="1"/>
    <col min="4875" max="4875" width="6.21875" style="204" customWidth="1"/>
    <col min="4876" max="4876" width="8.5546875" style="204" customWidth="1"/>
    <col min="4877" max="4877" width="4.21875" style="204" customWidth="1"/>
    <col min="4878" max="4879" width="8.88671875" style="204"/>
    <col min="4880" max="4880" width="11" style="204" customWidth="1"/>
    <col min="4881" max="5123" width="8.88671875" style="204"/>
    <col min="5124" max="5124" width="4.21875" style="204" customWidth="1"/>
    <col min="5125" max="5125" width="39.6640625" style="204" customWidth="1"/>
    <col min="5126" max="5126" width="3.21875" style="204" customWidth="1"/>
    <col min="5127" max="5127" width="2" style="204" customWidth="1"/>
    <col min="5128" max="5128" width="4" style="204" customWidth="1"/>
    <col min="5129" max="5130" width="7.5546875" style="204" customWidth="1"/>
    <col min="5131" max="5131" width="6.21875" style="204" customWidth="1"/>
    <col min="5132" max="5132" width="8.5546875" style="204" customWidth="1"/>
    <col min="5133" max="5133" width="4.21875" style="204" customWidth="1"/>
    <col min="5134" max="5135" width="8.88671875" style="204"/>
    <col min="5136" max="5136" width="11" style="204" customWidth="1"/>
    <col min="5137" max="5379" width="8.88671875" style="204"/>
    <col min="5380" max="5380" width="4.21875" style="204" customWidth="1"/>
    <col min="5381" max="5381" width="39.6640625" style="204" customWidth="1"/>
    <col min="5382" max="5382" width="3.21875" style="204" customWidth="1"/>
    <col min="5383" max="5383" width="2" style="204" customWidth="1"/>
    <col min="5384" max="5384" width="4" style="204" customWidth="1"/>
    <col min="5385" max="5386" width="7.5546875" style="204" customWidth="1"/>
    <col min="5387" max="5387" width="6.21875" style="204" customWidth="1"/>
    <col min="5388" max="5388" width="8.5546875" style="204" customWidth="1"/>
    <col min="5389" max="5389" width="4.21875" style="204" customWidth="1"/>
    <col min="5390" max="5391" width="8.88671875" style="204"/>
    <col min="5392" max="5392" width="11" style="204" customWidth="1"/>
    <col min="5393" max="5635" width="8.88671875" style="204"/>
    <col min="5636" max="5636" width="4.21875" style="204" customWidth="1"/>
    <col min="5637" max="5637" width="39.6640625" style="204" customWidth="1"/>
    <col min="5638" max="5638" width="3.21875" style="204" customWidth="1"/>
    <col min="5639" max="5639" width="2" style="204" customWidth="1"/>
    <col min="5640" max="5640" width="4" style="204" customWidth="1"/>
    <col min="5641" max="5642" width="7.5546875" style="204" customWidth="1"/>
    <col min="5643" max="5643" width="6.21875" style="204" customWidth="1"/>
    <col min="5644" max="5644" width="8.5546875" style="204" customWidth="1"/>
    <col min="5645" max="5645" width="4.21875" style="204" customWidth="1"/>
    <col min="5646" max="5647" width="8.88671875" style="204"/>
    <col min="5648" max="5648" width="11" style="204" customWidth="1"/>
    <col min="5649" max="5891" width="8.88671875" style="204"/>
    <col min="5892" max="5892" width="4.21875" style="204" customWidth="1"/>
    <col min="5893" max="5893" width="39.6640625" style="204" customWidth="1"/>
    <col min="5894" max="5894" width="3.21875" style="204" customWidth="1"/>
    <col min="5895" max="5895" width="2" style="204" customWidth="1"/>
    <col min="5896" max="5896" width="4" style="204" customWidth="1"/>
    <col min="5897" max="5898" width="7.5546875" style="204" customWidth="1"/>
    <col min="5899" max="5899" width="6.21875" style="204" customWidth="1"/>
    <col min="5900" max="5900" width="8.5546875" style="204" customWidth="1"/>
    <col min="5901" max="5901" width="4.21875" style="204" customWidth="1"/>
    <col min="5902" max="5903" width="8.88671875" style="204"/>
    <col min="5904" max="5904" width="11" style="204" customWidth="1"/>
    <col min="5905" max="6147" width="8.88671875" style="204"/>
    <col min="6148" max="6148" width="4.21875" style="204" customWidth="1"/>
    <col min="6149" max="6149" width="39.6640625" style="204" customWidth="1"/>
    <col min="6150" max="6150" width="3.21875" style="204" customWidth="1"/>
    <col min="6151" max="6151" width="2" style="204" customWidth="1"/>
    <col min="6152" max="6152" width="4" style="204" customWidth="1"/>
    <col min="6153" max="6154" width="7.5546875" style="204" customWidth="1"/>
    <col min="6155" max="6155" width="6.21875" style="204" customWidth="1"/>
    <col min="6156" max="6156" width="8.5546875" style="204" customWidth="1"/>
    <col min="6157" max="6157" width="4.21875" style="204" customWidth="1"/>
    <col min="6158" max="6159" width="8.88671875" style="204"/>
    <col min="6160" max="6160" width="11" style="204" customWidth="1"/>
    <col min="6161" max="6403" width="8.88671875" style="204"/>
    <col min="6404" max="6404" width="4.21875" style="204" customWidth="1"/>
    <col min="6405" max="6405" width="39.6640625" style="204" customWidth="1"/>
    <col min="6406" max="6406" width="3.21875" style="204" customWidth="1"/>
    <col min="6407" max="6407" width="2" style="204" customWidth="1"/>
    <col min="6408" max="6408" width="4" style="204" customWidth="1"/>
    <col min="6409" max="6410" width="7.5546875" style="204" customWidth="1"/>
    <col min="6411" max="6411" width="6.21875" style="204" customWidth="1"/>
    <col min="6412" max="6412" width="8.5546875" style="204" customWidth="1"/>
    <col min="6413" max="6413" width="4.21875" style="204" customWidth="1"/>
    <col min="6414" max="6415" width="8.88671875" style="204"/>
    <col min="6416" max="6416" width="11" style="204" customWidth="1"/>
    <col min="6417" max="6659" width="8.88671875" style="204"/>
    <col min="6660" max="6660" width="4.21875" style="204" customWidth="1"/>
    <col min="6661" max="6661" width="39.6640625" style="204" customWidth="1"/>
    <col min="6662" max="6662" width="3.21875" style="204" customWidth="1"/>
    <col min="6663" max="6663" width="2" style="204" customWidth="1"/>
    <col min="6664" max="6664" width="4" style="204" customWidth="1"/>
    <col min="6665" max="6666" width="7.5546875" style="204" customWidth="1"/>
    <col min="6667" max="6667" width="6.21875" style="204" customWidth="1"/>
    <col min="6668" max="6668" width="8.5546875" style="204" customWidth="1"/>
    <col min="6669" max="6669" width="4.21875" style="204" customWidth="1"/>
    <col min="6670" max="6671" width="8.88671875" style="204"/>
    <col min="6672" max="6672" width="11" style="204" customWidth="1"/>
    <col min="6673" max="6915" width="8.88671875" style="204"/>
    <col min="6916" max="6916" width="4.21875" style="204" customWidth="1"/>
    <col min="6917" max="6917" width="39.6640625" style="204" customWidth="1"/>
    <col min="6918" max="6918" width="3.21875" style="204" customWidth="1"/>
    <col min="6919" max="6919" width="2" style="204" customWidth="1"/>
    <col min="6920" max="6920" width="4" style="204" customWidth="1"/>
    <col min="6921" max="6922" width="7.5546875" style="204" customWidth="1"/>
    <col min="6923" max="6923" width="6.21875" style="204" customWidth="1"/>
    <col min="6924" max="6924" width="8.5546875" style="204" customWidth="1"/>
    <col min="6925" max="6925" width="4.21875" style="204" customWidth="1"/>
    <col min="6926" max="6927" width="8.88671875" style="204"/>
    <col min="6928" max="6928" width="11" style="204" customWidth="1"/>
    <col min="6929" max="7171" width="8.88671875" style="204"/>
    <col min="7172" max="7172" width="4.21875" style="204" customWidth="1"/>
    <col min="7173" max="7173" width="39.6640625" style="204" customWidth="1"/>
    <col min="7174" max="7174" width="3.21875" style="204" customWidth="1"/>
    <col min="7175" max="7175" width="2" style="204" customWidth="1"/>
    <col min="7176" max="7176" width="4" style="204" customWidth="1"/>
    <col min="7177" max="7178" width="7.5546875" style="204" customWidth="1"/>
    <col min="7179" max="7179" width="6.21875" style="204" customWidth="1"/>
    <col min="7180" max="7180" width="8.5546875" style="204" customWidth="1"/>
    <col min="7181" max="7181" width="4.21875" style="204" customWidth="1"/>
    <col min="7182" max="7183" width="8.88671875" style="204"/>
    <col min="7184" max="7184" width="11" style="204" customWidth="1"/>
    <col min="7185" max="7427" width="8.88671875" style="204"/>
    <col min="7428" max="7428" width="4.21875" style="204" customWidth="1"/>
    <col min="7429" max="7429" width="39.6640625" style="204" customWidth="1"/>
    <col min="7430" max="7430" width="3.21875" style="204" customWidth="1"/>
    <col min="7431" max="7431" width="2" style="204" customWidth="1"/>
    <col min="7432" max="7432" width="4" style="204" customWidth="1"/>
    <col min="7433" max="7434" width="7.5546875" style="204" customWidth="1"/>
    <col min="7435" max="7435" width="6.21875" style="204" customWidth="1"/>
    <col min="7436" max="7436" width="8.5546875" style="204" customWidth="1"/>
    <col min="7437" max="7437" width="4.21875" style="204" customWidth="1"/>
    <col min="7438" max="7439" width="8.88671875" style="204"/>
    <col min="7440" max="7440" width="11" style="204" customWidth="1"/>
    <col min="7441" max="7683" width="8.88671875" style="204"/>
    <col min="7684" max="7684" width="4.21875" style="204" customWidth="1"/>
    <col min="7685" max="7685" width="39.6640625" style="204" customWidth="1"/>
    <col min="7686" max="7686" width="3.21875" style="204" customWidth="1"/>
    <col min="7687" max="7687" width="2" style="204" customWidth="1"/>
    <col min="7688" max="7688" width="4" style="204" customWidth="1"/>
    <col min="7689" max="7690" width="7.5546875" style="204" customWidth="1"/>
    <col min="7691" max="7691" width="6.21875" style="204" customWidth="1"/>
    <col min="7692" max="7692" width="8.5546875" style="204" customWidth="1"/>
    <col min="7693" max="7693" width="4.21875" style="204" customWidth="1"/>
    <col min="7694" max="7695" width="8.88671875" style="204"/>
    <col min="7696" max="7696" width="11" style="204" customWidth="1"/>
    <col min="7697" max="7939" width="8.88671875" style="204"/>
    <col min="7940" max="7940" width="4.21875" style="204" customWidth="1"/>
    <col min="7941" max="7941" width="39.6640625" style="204" customWidth="1"/>
    <col min="7942" max="7942" width="3.21875" style="204" customWidth="1"/>
    <col min="7943" max="7943" width="2" style="204" customWidth="1"/>
    <col min="7944" max="7944" width="4" style="204" customWidth="1"/>
    <col min="7945" max="7946" width="7.5546875" style="204" customWidth="1"/>
    <col min="7947" max="7947" width="6.21875" style="204" customWidth="1"/>
    <col min="7948" max="7948" width="8.5546875" style="204" customWidth="1"/>
    <col min="7949" max="7949" width="4.21875" style="204" customWidth="1"/>
    <col min="7950" max="7951" width="8.88671875" style="204"/>
    <col min="7952" max="7952" width="11" style="204" customWidth="1"/>
    <col min="7953" max="8195" width="8.88671875" style="204"/>
    <col min="8196" max="8196" width="4.21875" style="204" customWidth="1"/>
    <col min="8197" max="8197" width="39.6640625" style="204" customWidth="1"/>
    <col min="8198" max="8198" width="3.21875" style="204" customWidth="1"/>
    <col min="8199" max="8199" width="2" style="204" customWidth="1"/>
    <col min="8200" max="8200" width="4" style="204" customWidth="1"/>
    <col min="8201" max="8202" width="7.5546875" style="204" customWidth="1"/>
    <col min="8203" max="8203" width="6.21875" style="204" customWidth="1"/>
    <col min="8204" max="8204" width="8.5546875" style="204" customWidth="1"/>
    <col min="8205" max="8205" width="4.21875" style="204" customWidth="1"/>
    <col min="8206" max="8207" width="8.88671875" style="204"/>
    <col min="8208" max="8208" width="11" style="204" customWidth="1"/>
    <col min="8209" max="8451" width="8.88671875" style="204"/>
    <col min="8452" max="8452" width="4.21875" style="204" customWidth="1"/>
    <col min="8453" max="8453" width="39.6640625" style="204" customWidth="1"/>
    <col min="8454" max="8454" width="3.21875" style="204" customWidth="1"/>
    <col min="8455" max="8455" width="2" style="204" customWidth="1"/>
    <col min="8456" max="8456" width="4" style="204" customWidth="1"/>
    <col min="8457" max="8458" width="7.5546875" style="204" customWidth="1"/>
    <col min="8459" max="8459" width="6.21875" style="204" customWidth="1"/>
    <col min="8460" max="8460" width="8.5546875" style="204" customWidth="1"/>
    <col min="8461" max="8461" width="4.21875" style="204" customWidth="1"/>
    <col min="8462" max="8463" width="8.88671875" style="204"/>
    <col min="8464" max="8464" width="11" style="204" customWidth="1"/>
    <col min="8465" max="8707" width="8.88671875" style="204"/>
    <col min="8708" max="8708" width="4.21875" style="204" customWidth="1"/>
    <col min="8709" max="8709" width="39.6640625" style="204" customWidth="1"/>
    <col min="8710" max="8710" width="3.21875" style="204" customWidth="1"/>
    <col min="8711" max="8711" width="2" style="204" customWidth="1"/>
    <col min="8712" max="8712" width="4" style="204" customWidth="1"/>
    <col min="8713" max="8714" width="7.5546875" style="204" customWidth="1"/>
    <col min="8715" max="8715" width="6.21875" style="204" customWidth="1"/>
    <col min="8716" max="8716" width="8.5546875" style="204" customWidth="1"/>
    <col min="8717" max="8717" width="4.21875" style="204" customWidth="1"/>
    <col min="8718" max="8719" width="8.88671875" style="204"/>
    <col min="8720" max="8720" width="11" style="204" customWidth="1"/>
    <col min="8721" max="8963" width="8.88671875" style="204"/>
    <col min="8964" max="8964" width="4.21875" style="204" customWidth="1"/>
    <col min="8965" max="8965" width="39.6640625" style="204" customWidth="1"/>
    <col min="8966" max="8966" width="3.21875" style="204" customWidth="1"/>
    <col min="8967" max="8967" width="2" style="204" customWidth="1"/>
    <col min="8968" max="8968" width="4" style="204" customWidth="1"/>
    <col min="8969" max="8970" width="7.5546875" style="204" customWidth="1"/>
    <col min="8971" max="8971" width="6.21875" style="204" customWidth="1"/>
    <col min="8972" max="8972" width="8.5546875" style="204" customWidth="1"/>
    <col min="8973" max="8973" width="4.21875" style="204" customWidth="1"/>
    <col min="8974" max="8975" width="8.88671875" style="204"/>
    <col min="8976" max="8976" width="11" style="204" customWidth="1"/>
    <col min="8977" max="9219" width="8.88671875" style="204"/>
    <col min="9220" max="9220" width="4.21875" style="204" customWidth="1"/>
    <col min="9221" max="9221" width="39.6640625" style="204" customWidth="1"/>
    <col min="9222" max="9222" width="3.21875" style="204" customWidth="1"/>
    <col min="9223" max="9223" width="2" style="204" customWidth="1"/>
    <col min="9224" max="9224" width="4" style="204" customWidth="1"/>
    <col min="9225" max="9226" width="7.5546875" style="204" customWidth="1"/>
    <col min="9227" max="9227" width="6.21875" style="204" customWidth="1"/>
    <col min="9228" max="9228" width="8.5546875" style="204" customWidth="1"/>
    <col min="9229" max="9229" width="4.21875" style="204" customWidth="1"/>
    <col min="9230" max="9231" width="8.88671875" style="204"/>
    <col min="9232" max="9232" width="11" style="204" customWidth="1"/>
    <col min="9233" max="9475" width="8.88671875" style="204"/>
    <col min="9476" max="9476" width="4.21875" style="204" customWidth="1"/>
    <col min="9477" max="9477" width="39.6640625" style="204" customWidth="1"/>
    <col min="9478" max="9478" width="3.21875" style="204" customWidth="1"/>
    <col min="9479" max="9479" width="2" style="204" customWidth="1"/>
    <col min="9480" max="9480" width="4" style="204" customWidth="1"/>
    <col min="9481" max="9482" width="7.5546875" style="204" customWidth="1"/>
    <col min="9483" max="9483" width="6.21875" style="204" customWidth="1"/>
    <col min="9484" max="9484" width="8.5546875" style="204" customWidth="1"/>
    <col min="9485" max="9485" width="4.21875" style="204" customWidth="1"/>
    <col min="9486" max="9487" width="8.88671875" style="204"/>
    <col min="9488" max="9488" width="11" style="204" customWidth="1"/>
    <col min="9489" max="9731" width="8.88671875" style="204"/>
    <col min="9732" max="9732" width="4.21875" style="204" customWidth="1"/>
    <col min="9733" max="9733" width="39.6640625" style="204" customWidth="1"/>
    <col min="9734" max="9734" width="3.21875" style="204" customWidth="1"/>
    <col min="9735" max="9735" width="2" style="204" customWidth="1"/>
    <col min="9736" max="9736" width="4" style="204" customWidth="1"/>
    <col min="9737" max="9738" width="7.5546875" style="204" customWidth="1"/>
    <col min="9739" max="9739" width="6.21875" style="204" customWidth="1"/>
    <col min="9740" max="9740" width="8.5546875" style="204" customWidth="1"/>
    <col min="9741" max="9741" width="4.21875" style="204" customWidth="1"/>
    <col min="9742" max="9743" width="8.88671875" style="204"/>
    <col min="9744" max="9744" width="11" style="204" customWidth="1"/>
    <col min="9745" max="9987" width="8.88671875" style="204"/>
    <col min="9988" max="9988" width="4.21875" style="204" customWidth="1"/>
    <col min="9989" max="9989" width="39.6640625" style="204" customWidth="1"/>
    <col min="9990" max="9990" width="3.21875" style="204" customWidth="1"/>
    <col min="9991" max="9991" width="2" style="204" customWidth="1"/>
    <col min="9992" max="9992" width="4" style="204" customWidth="1"/>
    <col min="9993" max="9994" width="7.5546875" style="204" customWidth="1"/>
    <col min="9995" max="9995" width="6.21875" style="204" customWidth="1"/>
    <col min="9996" max="9996" width="8.5546875" style="204" customWidth="1"/>
    <col min="9997" max="9997" width="4.21875" style="204" customWidth="1"/>
    <col min="9998" max="9999" width="8.88671875" style="204"/>
    <col min="10000" max="10000" width="11" style="204" customWidth="1"/>
    <col min="10001" max="10243" width="8.88671875" style="204"/>
    <col min="10244" max="10244" width="4.21875" style="204" customWidth="1"/>
    <col min="10245" max="10245" width="39.6640625" style="204" customWidth="1"/>
    <col min="10246" max="10246" width="3.21875" style="204" customWidth="1"/>
    <col min="10247" max="10247" width="2" style="204" customWidth="1"/>
    <col min="10248" max="10248" width="4" style="204" customWidth="1"/>
    <col min="10249" max="10250" width="7.5546875" style="204" customWidth="1"/>
    <col min="10251" max="10251" width="6.21875" style="204" customWidth="1"/>
    <col min="10252" max="10252" width="8.5546875" style="204" customWidth="1"/>
    <col min="10253" max="10253" width="4.21875" style="204" customWidth="1"/>
    <col min="10254" max="10255" width="8.88671875" style="204"/>
    <col min="10256" max="10256" width="11" style="204" customWidth="1"/>
    <col min="10257" max="10499" width="8.88671875" style="204"/>
    <col min="10500" max="10500" width="4.21875" style="204" customWidth="1"/>
    <col min="10501" max="10501" width="39.6640625" style="204" customWidth="1"/>
    <col min="10502" max="10502" width="3.21875" style="204" customWidth="1"/>
    <col min="10503" max="10503" width="2" style="204" customWidth="1"/>
    <col min="10504" max="10504" width="4" style="204" customWidth="1"/>
    <col min="10505" max="10506" width="7.5546875" style="204" customWidth="1"/>
    <col min="10507" max="10507" width="6.21875" style="204" customWidth="1"/>
    <col min="10508" max="10508" width="8.5546875" style="204" customWidth="1"/>
    <col min="10509" max="10509" width="4.21875" style="204" customWidth="1"/>
    <col min="10510" max="10511" width="8.88671875" style="204"/>
    <col min="10512" max="10512" width="11" style="204" customWidth="1"/>
    <col min="10513" max="10755" width="8.88671875" style="204"/>
    <col min="10756" max="10756" width="4.21875" style="204" customWidth="1"/>
    <col min="10757" max="10757" width="39.6640625" style="204" customWidth="1"/>
    <col min="10758" max="10758" width="3.21875" style="204" customWidth="1"/>
    <col min="10759" max="10759" width="2" style="204" customWidth="1"/>
    <col min="10760" max="10760" width="4" style="204" customWidth="1"/>
    <col min="10761" max="10762" width="7.5546875" style="204" customWidth="1"/>
    <col min="10763" max="10763" width="6.21875" style="204" customWidth="1"/>
    <col min="10764" max="10764" width="8.5546875" style="204" customWidth="1"/>
    <col min="10765" max="10765" width="4.21875" style="204" customWidth="1"/>
    <col min="10766" max="10767" width="8.88671875" style="204"/>
    <col min="10768" max="10768" width="11" style="204" customWidth="1"/>
    <col min="10769" max="11011" width="8.88671875" style="204"/>
    <col min="11012" max="11012" width="4.21875" style="204" customWidth="1"/>
    <col min="11013" max="11013" width="39.6640625" style="204" customWidth="1"/>
    <col min="11014" max="11014" width="3.21875" style="204" customWidth="1"/>
    <col min="11015" max="11015" width="2" style="204" customWidth="1"/>
    <col min="11016" max="11016" width="4" style="204" customWidth="1"/>
    <col min="11017" max="11018" width="7.5546875" style="204" customWidth="1"/>
    <col min="11019" max="11019" width="6.21875" style="204" customWidth="1"/>
    <col min="11020" max="11020" width="8.5546875" style="204" customWidth="1"/>
    <col min="11021" max="11021" width="4.21875" style="204" customWidth="1"/>
    <col min="11022" max="11023" width="8.88671875" style="204"/>
    <col min="11024" max="11024" width="11" style="204" customWidth="1"/>
    <col min="11025" max="11267" width="8.88671875" style="204"/>
    <col min="11268" max="11268" width="4.21875" style="204" customWidth="1"/>
    <col min="11269" max="11269" width="39.6640625" style="204" customWidth="1"/>
    <col min="11270" max="11270" width="3.21875" style="204" customWidth="1"/>
    <col min="11271" max="11271" width="2" style="204" customWidth="1"/>
    <col min="11272" max="11272" width="4" style="204" customWidth="1"/>
    <col min="11273" max="11274" width="7.5546875" style="204" customWidth="1"/>
    <col min="11275" max="11275" width="6.21875" style="204" customWidth="1"/>
    <col min="11276" max="11276" width="8.5546875" style="204" customWidth="1"/>
    <col min="11277" max="11277" width="4.21875" style="204" customWidth="1"/>
    <col min="11278" max="11279" width="8.88671875" style="204"/>
    <col min="11280" max="11280" width="11" style="204" customWidth="1"/>
    <col min="11281" max="11523" width="8.88671875" style="204"/>
    <col min="11524" max="11524" width="4.21875" style="204" customWidth="1"/>
    <col min="11525" max="11525" width="39.6640625" style="204" customWidth="1"/>
    <col min="11526" max="11526" width="3.21875" style="204" customWidth="1"/>
    <col min="11527" max="11527" width="2" style="204" customWidth="1"/>
    <col min="11528" max="11528" width="4" style="204" customWidth="1"/>
    <col min="11529" max="11530" width="7.5546875" style="204" customWidth="1"/>
    <col min="11531" max="11531" width="6.21875" style="204" customWidth="1"/>
    <col min="11532" max="11532" width="8.5546875" style="204" customWidth="1"/>
    <col min="11533" max="11533" width="4.21875" style="204" customWidth="1"/>
    <col min="11534" max="11535" width="8.88671875" style="204"/>
    <col min="11536" max="11536" width="11" style="204" customWidth="1"/>
    <col min="11537" max="11779" width="8.88671875" style="204"/>
    <col min="11780" max="11780" width="4.21875" style="204" customWidth="1"/>
    <col min="11781" max="11781" width="39.6640625" style="204" customWidth="1"/>
    <col min="11782" max="11782" width="3.21875" style="204" customWidth="1"/>
    <col min="11783" max="11783" width="2" style="204" customWidth="1"/>
    <col min="11784" max="11784" width="4" style="204" customWidth="1"/>
    <col min="11785" max="11786" width="7.5546875" style="204" customWidth="1"/>
    <col min="11787" max="11787" width="6.21875" style="204" customWidth="1"/>
    <col min="11788" max="11788" width="8.5546875" style="204" customWidth="1"/>
    <col min="11789" max="11789" width="4.21875" style="204" customWidth="1"/>
    <col min="11790" max="11791" width="8.88671875" style="204"/>
    <col min="11792" max="11792" width="11" style="204" customWidth="1"/>
    <col min="11793" max="12035" width="8.88671875" style="204"/>
    <col min="12036" max="12036" width="4.21875" style="204" customWidth="1"/>
    <col min="12037" max="12037" width="39.6640625" style="204" customWidth="1"/>
    <col min="12038" max="12038" width="3.21875" style="204" customWidth="1"/>
    <col min="12039" max="12039" width="2" style="204" customWidth="1"/>
    <col min="12040" max="12040" width="4" style="204" customWidth="1"/>
    <col min="12041" max="12042" width="7.5546875" style="204" customWidth="1"/>
    <col min="12043" max="12043" width="6.21875" style="204" customWidth="1"/>
    <col min="12044" max="12044" width="8.5546875" style="204" customWidth="1"/>
    <col min="12045" max="12045" width="4.21875" style="204" customWidth="1"/>
    <col min="12046" max="12047" width="8.88671875" style="204"/>
    <col min="12048" max="12048" width="11" style="204" customWidth="1"/>
    <col min="12049" max="12291" width="8.88671875" style="204"/>
    <col min="12292" max="12292" width="4.21875" style="204" customWidth="1"/>
    <col min="12293" max="12293" width="39.6640625" style="204" customWidth="1"/>
    <col min="12294" max="12294" width="3.21875" style="204" customWidth="1"/>
    <col min="12295" max="12295" width="2" style="204" customWidth="1"/>
    <col min="12296" max="12296" width="4" style="204" customWidth="1"/>
    <col min="12297" max="12298" width="7.5546875" style="204" customWidth="1"/>
    <col min="12299" max="12299" width="6.21875" style="204" customWidth="1"/>
    <col min="12300" max="12300" width="8.5546875" style="204" customWidth="1"/>
    <col min="12301" max="12301" width="4.21875" style="204" customWidth="1"/>
    <col min="12302" max="12303" width="8.88671875" style="204"/>
    <col min="12304" max="12304" width="11" style="204" customWidth="1"/>
    <col min="12305" max="12547" width="8.88671875" style="204"/>
    <col min="12548" max="12548" width="4.21875" style="204" customWidth="1"/>
    <col min="12549" max="12549" width="39.6640625" style="204" customWidth="1"/>
    <col min="12550" max="12550" width="3.21875" style="204" customWidth="1"/>
    <col min="12551" max="12551" width="2" style="204" customWidth="1"/>
    <col min="12552" max="12552" width="4" style="204" customWidth="1"/>
    <col min="12553" max="12554" width="7.5546875" style="204" customWidth="1"/>
    <col min="12555" max="12555" width="6.21875" style="204" customWidth="1"/>
    <col min="12556" max="12556" width="8.5546875" style="204" customWidth="1"/>
    <col min="12557" max="12557" width="4.21875" style="204" customWidth="1"/>
    <col min="12558" max="12559" width="8.88671875" style="204"/>
    <col min="12560" max="12560" width="11" style="204" customWidth="1"/>
    <col min="12561" max="12803" width="8.88671875" style="204"/>
    <col min="12804" max="12804" width="4.21875" style="204" customWidth="1"/>
    <col min="12805" max="12805" width="39.6640625" style="204" customWidth="1"/>
    <col min="12806" max="12806" width="3.21875" style="204" customWidth="1"/>
    <col min="12807" max="12807" width="2" style="204" customWidth="1"/>
    <col min="12808" max="12808" width="4" style="204" customWidth="1"/>
    <col min="12809" max="12810" width="7.5546875" style="204" customWidth="1"/>
    <col min="12811" max="12811" width="6.21875" style="204" customWidth="1"/>
    <col min="12812" max="12812" width="8.5546875" style="204" customWidth="1"/>
    <col min="12813" max="12813" width="4.21875" style="204" customWidth="1"/>
    <col min="12814" max="12815" width="8.88671875" style="204"/>
    <col min="12816" max="12816" width="11" style="204" customWidth="1"/>
    <col min="12817" max="13059" width="8.88671875" style="204"/>
    <col min="13060" max="13060" width="4.21875" style="204" customWidth="1"/>
    <col min="13061" max="13061" width="39.6640625" style="204" customWidth="1"/>
    <col min="13062" max="13062" width="3.21875" style="204" customWidth="1"/>
    <col min="13063" max="13063" width="2" style="204" customWidth="1"/>
    <col min="13064" max="13064" width="4" style="204" customWidth="1"/>
    <col min="13065" max="13066" width="7.5546875" style="204" customWidth="1"/>
    <col min="13067" max="13067" width="6.21875" style="204" customWidth="1"/>
    <col min="13068" max="13068" width="8.5546875" style="204" customWidth="1"/>
    <col min="13069" max="13069" width="4.21875" style="204" customWidth="1"/>
    <col min="13070" max="13071" width="8.88671875" style="204"/>
    <col min="13072" max="13072" width="11" style="204" customWidth="1"/>
    <col min="13073" max="13315" width="8.88671875" style="204"/>
    <col min="13316" max="13316" width="4.21875" style="204" customWidth="1"/>
    <col min="13317" max="13317" width="39.6640625" style="204" customWidth="1"/>
    <col min="13318" max="13318" width="3.21875" style="204" customWidth="1"/>
    <col min="13319" max="13319" width="2" style="204" customWidth="1"/>
    <col min="13320" max="13320" width="4" style="204" customWidth="1"/>
    <col min="13321" max="13322" width="7.5546875" style="204" customWidth="1"/>
    <col min="13323" max="13323" width="6.21875" style="204" customWidth="1"/>
    <col min="13324" max="13324" width="8.5546875" style="204" customWidth="1"/>
    <col min="13325" max="13325" width="4.21875" style="204" customWidth="1"/>
    <col min="13326" max="13327" width="8.88671875" style="204"/>
    <col min="13328" max="13328" width="11" style="204" customWidth="1"/>
    <col min="13329" max="13571" width="8.88671875" style="204"/>
    <col min="13572" max="13572" width="4.21875" style="204" customWidth="1"/>
    <col min="13573" max="13573" width="39.6640625" style="204" customWidth="1"/>
    <col min="13574" max="13574" width="3.21875" style="204" customWidth="1"/>
    <col min="13575" max="13575" width="2" style="204" customWidth="1"/>
    <col min="13576" max="13576" width="4" style="204" customWidth="1"/>
    <col min="13577" max="13578" width="7.5546875" style="204" customWidth="1"/>
    <col min="13579" max="13579" width="6.21875" style="204" customWidth="1"/>
    <col min="13580" max="13580" width="8.5546875" style="204" customWidth="1"/>
    <col min="13581" max="13581" width="4.21875" style="204" customWidth="1"/>
    <col min="13582" max="13583" width="8.88671875" style="204"/>
    <col min="13584" max="13584" width="11" style="204" customWidth="1"/>
    <col min="13585" max="13827" width="8.88671875" style="204"/>
    <col min="13828" max="13828" width="4.21875" style="204" customWidth="1"/>
    <col min="13829" max="13829" width="39.6640625" style="204" customWidth="1"/>
    <col min="13830" max="13830" width="3.21875" style="204" customWidth="1"/>
    <col min="13831" max="13831" width="2" style="204" customWidth="1"/>
    <col min="13832" max="13832" width="4" style="204" customWidth="1"/>
    <col min="13833" max="13834" width="7.5546875" style="204" customWidth="1"/>
    <col min="13835" max="13835" width="6.21875" style="204" customWidth="1"/>
    <col min="13836" max="13836" width="8.5546875" style="204" customWidth="1"/>
    <col min="13837" max="13837" width="4.21875" style="204" customWidth="1"/>
    <col min="13838" max="13839" width="8.88671875" style="204"/>
    <col min="13840" max="13840" width="11" style="204" customWidth="1"/>
    <col min="13841" max="14083" width="8.88671875" style="204"/>
    <col min="14084" max="14084" width="4.21875" style="204" customWidth="1"/>
    <col min="14085" max="14085" width="39.6640625" style="204" customWidth="1"/>
    <col min="14086" max="14086" width="3.21875" style="204" customWidth="1"/>
    <col min="14087" max="14087" width="2" style="204" customWidth="1"/>
    <col min="14088" max="14088" width="4" style="204" customWidth="1"/>
    <col min="14089" max="14090" width="7.5546875" style="204" customWidth="1"/>
    <col min="14091" max="14091" width="6.21875" style="204" customWidth="1"/>
    <col min="14092" max="14092" width="8.5546875" style="204" customWidth="1"/>
    <col min="14093" max="14093" width="4.21875" style="204" customWidth="1"/>
    <col min="14094" max="14095" width="8.88671875" style="204"/>
    <col min="14096" max="14096" width="11" style="204" customWidth="1"/>
    <col min="14097" max="14339" width="8.88671875" style="204"/>
    <col min="14340" max="14340" width="4.21875" style="204" customWidth="1"/>
    <col min="14341" max="14341" width="39.6640625" style="204" customWidth="1"/>
    <col min="14342" max="14342" width="3.21875" style="204" customWidth="1"/>
    <col min="14343" max="14343" width="2" style="204" customWidth="1"/>
    <col min="14344" max="14344" width="4" style="204" customWidth="1"/>
    <col min="14345" max="14346" width="7.5546875" style="204" customWidth="1"/>
    <col min="14347" max="14347" width="6.21875" style="204" customWidth="1"/>
    <col min="14348" max="14348" width="8.5546875" style="204" customWidth="1"/>
    <col min="14349" max="14349" width="4.21875" style="204" customWidth="1"/>
    <col min="14350" max="14351" width="8.88671875" style="204"/>
    <col min="14352" max="14352" width="11" style="204" customWidth="1"/>
    <col min="14353" max="14595" width="8.88671875" style="204"/>
    <col min="14596" max="14596" width="4.21875" style="204" customWidth="1"/>
    <col min="14597" max="14597" width="39.6640625" style="204" customWidth="1"/>
    <col min="14598" max="14598" width="3.21875" style="204" customWidth="1"/>
    <col min="14599" max="14599" width="2" style="204" customWidth="1"/>
    <col min="14600" max="14600" width="4" style="204" customWidth="1"/>
    <col min="14601" max="14602" width="7.5546875" style="204" customWidth="1"/>
    <col min="14603" max="14603" width="6.21875" style="204" customWidth="1"/>
    <col min="14604" max="14604" width="8.5546875" style="204" customWidth="1"/>
    <col min="14605" max="14605" width="4.21875" style="204" customWidth="1"/>
    <col min="14606" max="14607" width="8.88671875" style="204"/>
    <col min="14608" max="14608" width="11" style="204" customWidth="1"/>
    <col min="14609" max="14851" width="8.88671875" style="204"/>
    <col min="14852" max="14852" width="4.21875" style="204" customWidth="1"/>
    <col min="14853" max="14853" width="39.6640625" style="204" customWidth="1"/>
    <col min="14854" max="14854" width="3.21875" style="204" customWidth="1"/>
    <col min="14855" max="14855" width="2" style="204" customWidth="1"/>
    <col min="14856" max="14856" width="4" style="204" customWidth="1"/>
    <col min="14857" max="14858" width="7.5546875" style="204" customWidth="1"/>
    <col min="14859" max="14859" width="6.21875" style="204" customWidth="1"/>
    <col min="14860" max="14860" width="8.5546875" style="204" customWidth="1"/>
    <col min="14861" max="14861" width="4.21875" style="204" customWidth="1"/>
    <col min="14862" max="14863" width="8.88671875" style="204"/>
    <col min="14864" max="14864" width="11" style="204" customWidth="1"/>
    <col min="14865" max="15107" width="8.88671875" style="204"/>
    <col min="15108" max="15108" width="4.21875" style="204" customWidth="1"/>
    <col min="15109" max="15109" width="39.6640625" style="204" customWidth="1"/>
    <col min="15110" max="15110" width="3.21875" style="204" customWidth="1"/>
    <col min="15111" max="15111" width="2" style="204" customWidth="1"/>
    <col min="15112" max="15112" width="4" style="204" customWidth="1"/>
    <col min="15113" max="15114" width="7.5546875" style="204" customWidth="1"/>
    <col min="15115" max="15115" width="6.21875" style="204" customWidth="1"/>
    <col min="15116" max="15116" width="8.5546875" style="204" customWidth="1"/>
    <col min="15117" max="15117" width="4.21875" style="204" customWidth="1"/>
    <col min="15118" max="15119" width="8.88671875" style="204"/>
    <col min="15120" max="15120" width="11" style="204" customWidth="1"/>
    <col min="15121" max="15363" width="8.88671875" style="204"/>
    <col min="15364" max="15364" width="4.21875" style="204" customWidth="1"/>
    <col min="15365" max="15365" width="39.6640625" style="204" customWidth="1"/>
    <col min="15366" max="15366" width="3.21875" style="204" customWidth="1"/>
    <col min="15367" max="15367" width="2" style="204" customWidth="1"/>
    <col min="15368" max="15368" width="4" style="204" customWidth="1"/>
    <col min="15369" max="15370" width="7.5546875" style="204" customWidth="1"/>
    <col min="15371" max="15371" width="6.21875" style="204" customWidth="1"/>
    <col min="15372" max="15372" width="8.5546875" style="204" customWidth="1"/>
    <col min="15373" max="15373" width="4.21875" style="204" customWidth="1"/>
    <col min="15374" max="15375" width="8.88671875" style="204"/>
    <col min="15376" max="15376" width="11" style="204" customWidth="1"/>
    <col min="15377" max="15619" width="8.88671875" style="204"/>
    <col min="15620" max="15620" width="4.21875" style="204" customWidth="1"/>
    <col min="15621" max="15621" width="39.6640625" style="204" customWidth="1"/>
    <col min="15622" max="15622" width="3.21875" style="204" customWidth="1"/>
    <col min="15623" max="15623" width="2" style="204" customWidth="1"/>
    <col min="15624" max="15624" width="4" style="204" customWidth="1"/>
    <col min="15625" max="15626" width="7.5546875" style="204" customWidth="1"/>
    <col min="15627" max="15627" width="6.21875" style="204" customWidth="1"/>
    <col min="15628" max="15628" width="8.5546875" style="204" customWidth="1"/>
    <col min="15629" max="15629" width="4.21875" style="204" customWidth="1"/>
    <col min="15630" max="15631" width="8.88671875" style="204"/>
    <col min="15632" max="15632" width="11" style="204" customWidth="1"/>
    <col min="15633" max="15875" width="8.88671875" style="204"/>
    <col min="15876" max="15876" width="4.21875" style="204" customWidth="1"/>
    <col min="15877" max="15877" width="39.6640625" style="204" customWidth="1"/>
    <col min="15878" max="15878" width="3.21875" style="204" customWidth="1"/>
    <col min="15879" max="15879" width="2" style="204" customWidth="1"/>
    <col min="15880" max="15880" width="4" style="204" customWidth="1"/>
    <col min="15881" max="15882" width="7.5546875" style="204" customWidth="1"/>
    <col min="15883" max="15883" width="6.21875" style="204" customWidth="1"/>
    <col min="15884" max="15884" width="8.5546875" style="204" customWidth="1"/>
    <col min="15885" max="15885" width="4.21875" style="204" customWidth="1"/>
    <col min="15886" max="15887" width="8.88671875" style="204"/>
    <col min="15888" max="15888" width="11" style="204" customWidth="1"/>
    <col min="15889" max="16131" width="8.88671875" style="204"/>
    <col min="16132" max="16132" width="4.21875" style="204" customWidth="1"/>
    <col min="16133" max="16133" width="39.6640625" style="204" customWidth="1"/>
    <col min="16134" max="16134" width="3.21875" style="204" customWidth="1"/>
    <col min="16135" max="16135" width="2" style="204" customWidth="1"/>
    <col min="16136" max="16136" width="4" style="204" customWidth="1"/>
    <col min="16137" max="16138" width="7.5546875" style="204" customWidth="1"/>
    <col min="16139" max="16139" width="6.21875" style="204" customWidth="1"/>
    <col min="16140" max="16140" width="8.5546875" style="204" customWidth="1"/>
    <col min="16141" max="16141" width="4.21875" style="204" customWidth="1"/>
    <col min="16142" max="16143" width="8.88671875" style="204"/>
    <col min="16144" max="16144" width="11" style="204" customWidth="1"/>
    <col min="16145" max="16384" width="8.88671875" style="204"/>
  </cols>
  <sheetData>
    <row r="1" spans="1:19">
      <c r="A1" s="632" t="s">
        <v>61</v>
      </c>
      <c r="B1" s="632"/>
      <c r="C1" s="632"/>
      <c r="D1" s="632"/>
      <c r="E1" s="632"/>
      <c r="F1" s="632"/>
      <c r="G1" s="632"/>
      <c r="H1" s="632"/>
      <c r="I1" s="632"/>
      <c r="J1" s="632"/>
      <c r="K1" s="632"/>
      <c r="L1" s="632"/>
      <c r="M1" s="632"/>
      <c r="N1" s="632"/>
    </row>
    <row r="2" spans="1:19">
      <c r="A2" s="632" t="s">
        <v>993</v>
      </c>
      <c r="B2" s="632"/>
      <c r="C2" s="632"/>
      <c r="D2" s="632"/>
      <c r="E2" s="632"/>
      <c r="F2" s="632"/>
      <c r="G2" s="632"/>
      <c r="H2" s="632"/>
      <c r="I2" s="632"/>
      <c r="J2" s="632"/>
      <c r="K2" s="632"/>
      <c r="L2" s="632"/>
      <c r="M2" s="632"/>
      <c r="N2" s="632"/>
    </row>
    <row r="3" spans="1:19" ht="54" customHeight="1">
      <c r="A3" s="633" t="s">
        <v>1178</v>
      </c>
      <c r="B3" s="633"/>
      <c r="C3" s="633"/>
      <c r="D3" s="633"/>
      <c r="E3" s="633"/>
      <c r="F3" s="633"/>
      <c r="G3" s="633"/>
      <c r="H3" s="633"/>
      <c r="I3" s="633"/>
      <c r="J3" s="633"/>
      <c r="K3" s="633"/>
      <c r="L3" s="633"/>
      <c r="M3" s="633"/>
      <c r="N3" s="633"/>
    </row>
    <row r="4" spans="1:19" ht="19.5" thickBot="1">
      <c r="A4" s="634" t="s">
        <v>1105</v>
      </c>
      <c r="B4" s="634"/>
      <c r="C4" s="634"/>
      <c r="D4" s="634"/>
      <c r="E4" s="634"/>
      <c r="F4" s="634"/>
      <c r="G4" s="634"/>
      <c r="H4" s="634"/>
      <c r="I4" s="634"/>
      <c r="J4" s="634"/>
      <c r="K4" s="634"/>
      <c r="L4" s="634"/>
      <c r="M4" s="634"/>
      <c r="N4" s="634"/>
    </row>
    <row r="5" spans="1:19" ht="16.5" customHeight="1" thickTop="1">
      <c r="A5" s="635" t="s">
        <v>80</v>
      </c>
      <c r="B5" s="637" t="s">
        <v>1106</v>
      </c>
      <c r="C5" s="638"/>
      <c r="D5" s="639"/>
      <c r="E5" s="643" t="s">
        <v>23</v>
      </c>
      <c r="F5" s="643"/>
      <c r="G5" s="643"/>
      <c r="H5" s="643"/>
      <c r="I5" s="643"/>
      <c r="J5" s="645" t="s">
        <v>1107</v>
      </c>
      <c r="K5" s="645"/>
      <c r="L5" s="645"/>
      <c r="M5" s="637" t="s">
        <v>18</v>
      </c>
      <c r="N5" s="646"/>
    </row>
    <row r="6" spans="1:19" ht="19.5" customHeight="1" thickBot="1">
      <c r="A6" s="636"/>
      <c r="B6" s="640"/>
      <c r="C6" s="641"/>
      <c r="D6" s="642"/>
      <c r="E6" s="644"/>
      <c r="F6" s="644"/>
      <c r="G6" s="644"/>
      <c r="H6" s="644"/>
      <c r="I6" s="644"/>
      <c r="J6" s="205" t="s">
        <v>859</v>
      </c>
      <c r="K6" s="205" t="s">
        <v>25</v>
      </c>
      <c r="L6" s="205" t="s">
        <v>66</v>
      </c>
      <c r="M6" s="640"/>
      <c r="N6" s="647"/>
    </row>
    <row r="7" spans="1:19" ht="100.5" customHeight="1" thickTop="1">
      <c r="A7" s="206">
        <v>1</v>
      </c>
      <c r="B7" s="648" t="s">
        <v>1108</v>
      </c>
      <c r="C7" s="649"/>
      <c r="D7" s="650"/>
      <c r="E7" s="207"/>
      <c r="F7" s="207"/>
      <c r="G7" s="207"/>
      <c r="H7" s="207"/>
      <c r="I7" s="207"/>
      <c r="J7" s="208"/>
      <c r="K7" s="208"/>
      <c r="L7" s="208"/>
      <c r="M7" s="208"/>
      <c r="N7" s="209"/>
    </row>
    <row r="8" spans="1:19" ht="20.25" customHeight="1">
      <c r="A8" s="210"/>
      <c r="B8" s="211" t="s">
        <v>1109</v>
      </c>
      <c r="C8" s="212" t="s">
        <v>1110</v>
      </c>
      <c r="D8" s="213" t="s">
        <v>1111</v>
      </c>
      <c r="E8" s="214"/>
      <c r="F8" s="214"/>
      <c r="G8" s="214"/>
      <c r="H8" s="214"/>
      <c r="I8" s="214"/>
      <c r="J8" s="214"/>
      <c r="K8" s="214"/>
      <c r="L8" s="214"/>
      <c r="M8" s="215"/>
      <c r="N8" s="216"/>
    </row>
    <row r="9" spans="1:19" ht="40.5" customHeight="1">
      <c r="A9" s="210"/>
      <c r="B9" s="217" t="s">
        <v>1112</v>
      </c>
      <c r="C9" s="212" t="s">
        <v>1110</v>
      </c>
      <c r="D9" s="218" t="s">
        <v>1113</v>
      </c>
      <c r="E9" s="219"/>
      <c r="F9" s="219"/>
      <c r="G9" s="219"/>
      <c r="H9" s="219"/>
      <c r="I9" s="220"/>
      <c r="J9" s="221"/>
      <c r="K9" s="221"/>
      <c r="L9" s="221"/>
      <c r="M9" s="221"/>
      <c r="N9" s="222"/>
    </row>
    <row r="10" spans="1:19" ht="39" customHeight="1">
      <c r="A10" s="210"/>
      <c r="B10" s="223" t="s">
        <v>1114</v>
      </c>
      <c r="C10" s="212" t="s">
        <v>1110</v>
      </c>
      <c r="D10" s="224" t="s">
        <v>1115</v>
      </c>
      <c r="E10" s="219"/>
      <c r="F10" s="219"/>
      <c r="G10" s="219"/>
      <c r="H10" s="219"/>
      <c r="I10" s="220"/>
      <c r="J10" s="221"/>
      <c r="K10" s="214"/>
      <c r="L10" s="214"/>
      <c r="M10" s="225"/>
      <c r="N10" s="222"/>
    </row>
    <row r="11" spans="1:19" ht="52.5" customHeight="1">
      <c r="A11" s="210"/>
      <c r="B11" s="223" t="s">
        <v>1116</v>
      </c>
      <c r="C11" s="212" t="s">
        <v>1110</v>
      </c>
      <c r="D11" s="224" t="s">
        <v>1117</v>
      </c>
      <c r="E11" s="219"/>
      <c r="F11" s="219"/>
      <c r="G11" s="219"/>
      <c r="H11" s="219"/>
      <c r="I11" s="220"/>
      <c r="J11" s="221"/>
      <c r="K11" s="214"/>
      <c r="L11" s="214"/>
      <c r="M11" s="225"/>
      <c r="N11" s="222"/>
      <c r="O11" s="204">
        <f>2.85*15</f>
        <v>42.75</v>
      </c>
      <c r="P11" s="204">
        <f>O11+2+1.5</f>
        <v>46.25</v>
      </c>
      <c r="R11" s="204">
        <f>12*2.85</f>
        <v>34.200000000000003</v>
      </c>
      <c r="S11" s="204">
        <f>R11+0.8</f>
        <v>35</v>
      </c>
    </row>
    <row r="12" spans="1:19" ht="32.25" customHeight="1">
      <c r="A12" s="210"/>
      <c r="B12" s="223" t="s">
        <v>1118</v>
      </c>
      <c r="C12" s="212" t="s">
        <v>1110</v>
      </c>
      <c r="D12" s="224" t="s">
        <v>1119</v>
      </c>
      <c r="E12" s="219"/>
      <c r="F12" s="219"/>
      <c r="G12" s="219"/>
      <c r="H12" s="219"/>
      <c r="I12" s="220"/>
      <c r="J12" s="221"/>
      <c r="K12" s="214"/>
      <c r="L12" s="214"/>
      <c r="M12" s="225"/>
      <c r="N12" s="222"/>
    </row>
    <row r="13" spans="1:19" ht="35.25" customHeight="1">
      <c r="A13" s="210"/>
      <c r="B13" s="223" t="s">
        <v>1120</v>
      </c>
      <c r="C13" s="212" t="s">
        <v>1110</v>
      </c>
      <c r="D13" s="224" t="s">
        <v>1121</v>
      </c>
      <c r="E13" s="219"/>
      <c r="F13" s="219"/>
      <c r="G13" s="219"/>
      <c r="H13" s="219"/>
      <c r="I13" s="220"/>
      <c r="J13" s="221"/>
      <c r="K13" s="214"/>
      <c r="L13" s="214"/>
      <c r="M13" s="225"/>
      <c r="N13" s="222"/>
    </row>
    <row r="14" spans="1:19" ht="38.25" customHeight="1">
      <c r="A14" s="210"/>
      <c r="B14" s="223" t="s">
        <v>1122</v>
      </c>
      <c r="C14" s="212" t="s">
        <v>1110</v>
      </c>
      <c r="D14" s="224" t="s">
        <v>1123</v>
      </c>
      <c r="E14" s="219"/>
      <c r="F14" s="219"/>
      <c r="G14" s="219"/>
      <c r="H14" s="219"/>
      <c r="I14" s="220"/>
      <c r="J14" s="221"/>
      <c r="K14" s="214"/>
      <c r="L14" s="214"/>
      <c r="M14" s="225"/>
      <c r="N14" s="222"/>
    </row>
    <row r="15" spans="1:19" ht="35.25" customHeight="1">
      <c r="A15" s="210"/>
      <c r="B15" s="223" t="s">
        <v>1124</v>
      </c>
      <c r="C15" s="212" t="s">
        <v>1110</v>
      </c>
      <c r="D15" s="224" t="s">
        <v>1125</v>
      </c>
      <c r="E15" s="219"/>
      <c r="F15" s="219"/>
      <c r="G15" s="219"/>
      <c r="H15" s="219"/>
      <c r="I15" s="220"/>
      <c r="J15" s="221"/>
      <c r="K15" s="221"/>
      <c r="L15" s="221"/>
      <c r="M15" s="225"/>
      <c r="N15" s="222"/>
    </row>
    <row r="16" spans="1:19" ht="33.75" customHeight="1">
      <c r="A16" s="210"/>
      <c r="B16" s="223" t="s">
        <v>1126</v>
      </c>
      <c r="C16" s="212" t="s">
        <v>1110</v>
      </c>
      <c r="D16" s="224" t="s">
        <v>1127</v>
      </c>
      <c r="E16" s="219"/>
      <c r="F16" s="219"/>
      <c r="G16" s="219"/>
      <c r="H16" s="219"/>
      <c r="I16" s="220"/>
      <c r="J16" s="221"/>
      <c r="K16" s="221"/>
      <c r="L16" s="221"/>
      <c r="M16" s="215"/>
      <c r="N16" s="216"/>
    </row>
    <row r="17" spans="1:16" ht="36" customHeight="1">
      <c r="A17" s="210"/>
      <c r="B17" s="226" t="s">
        <v>1128</v>
      </c>
      <c r="C17" s="212" t="s">
        <v>1110</v>
      </c>
      <c r="D17" s="218" t="s">
        <v>1129</v>
      </c>
      <c r="E17" s="219"/>
      <c r="F17" s="219"/>
      <c r="G17" s="219"/>
      <c r="H17" s="219"/>
      <c r="I17" s="220"/>
      <c r="J17" s="221"/>
      <c r="K17" s="221"/>
      <c r="L17" s="221"/>
      <c r="M17" s="221"/>
      <c r="N17" s="222"/>
    </row>
    <row r="18" spans="1:16" ht="42" customHeight="1">
      <c r="A18" s="210"/>
      <c r="B18" s="223" t="s">
        <v>1130</v>
      </c>
      <c r="C18" s="212" t="s">
        <v>1110</v>
      </c>
      <c r="D18" s="224" t="s">
        <v>1131</v>
      </c>
      <c r="E18" s="214"/>
      <c r="F18" s="214"/>
      <c r="G18" s="214"/>
      <c r="H18" s="214"/>
      <c r="I18" s="214"/>
      <c r="J18" s="214"/>
      <c r="K18" s="214"/>
      <c r="L18" s="214"/>
      <c r="M18" s="215"/>
      <c r="N18" s="216"/>
    </row>
    <row r="19" spans="1:16" ht="42.75" customHeight="1">
      <c r="A19" s="210"/>
      <c r="B19" s="227" t="s">
        <v>1132</v>
      </c>
      <c r="C19" s="212" t="s">
        <v>1110</v>
      </c>
      <c r="D19" s="228" t="s">
        <v>1133</v>
      </c>
      <c r="E19" s="214"/>
      <c r="F19" s="214"/>
      <c r="G19" s="214"/>
      <c r="H19" s="214"/>
      <c r="I19" s="214"/>
      <c r="J19" s="214"/>
      <c r="K19" s="214"/>
      <c r="L19" s="214"/>
      <c r="M19" s="225"/>
      <c r="N19" s="222"/>
    </row>
    <row r="20" spans="1:16" ht="32.25" customHeight="1">
      <c r="A20" s="210"/>
      <c r="B20" s="223" t="s">
        <v>1134</v>
      </c>
      <c r="C20" s="212" t="s">
        <v>1110</v>
      </c>
      <c r="D20" s="224" t="s">
        <v>1135</v>
      </c>
      <c r="E20" s="214"/>
      <c r="F20" s="214"/>
      <c r="G20" s="214"/>
      <c r="H20" s="214"/>
      <c r="I20" s="214"/>
      <c r="J20" s="214"/>
      <c r="K20" s="214"/>
      <c r="L20" s="214"/>
      <c r="M20" s="225"/>
      <c r="N20" s="222"/>
    </row>
    <row r="21" spans="1:16" ht="24" customHeight="1">
      <c r="A21" s="210"/>
      <c r="B21" s="229" t="s">
        <v>1136</v>
      </c>
      <c r="C21" s="212" t="s">
        <v>1110</v>
      </c>
      <c r="D21" s="224"/>
      <c r="E21" s="214"/>
      <c r="F21" s="214"/>
      <c r="G21" s="214"/>
      <c r="H21" s="214"/>
      <c r="I21" s="214"/>
      <c r="J21" s="214"/>
      <c r="K21" s="214"/>
      <c r="L21" s="214"/>
      <c r="M21" s="225"/>
      <c r="N21" s="222"/>
    </row>
    <row r="22" spans="1:16" ht="27">
      <c r="A22" s="210"/>
      <c r="B22" s="223" t="s">
        <v>1137</v>
      </c>
      <c r="C22" s="212" t="s">
        <v>1110</v>
      </c>
      <c r="D22" s="224" t="s">
        <v>1138</v>
      </c>
      <c r="E22" s="214"/>
      <c r="F22" s="214"/>
      <c r="G22" s="214"/>
      <c r="H22" s="214"/>
      <c r="I22" s="214"/>
      <c r="J22" s="214"/>
      <c r="K22" s="214"/>
      <c r="L22" s="214"/>
      <c r="M22" s="225"/>
      <c r="N22" s="222"/>
    </row>
    <row r="23" spans="1:16" ht="36" customHeight="1">
      <c r="A23" s="210"/>
      <c r="B23" s="223" t="s">
        <v>1139</v>
      </c>
      <c r="C23" s="212" t="s">
        <v>1110</v>
      </c>
      <c r="D23" s="224" t="s">
        <v>1140</v>
      </c>
      <c r="E23" s="214"/>
      <c r="F23" s="214"/>
      <c r="G23" s="214"/>
      <c r="H23" s="214"/>
      <c r="I23" s="214"/>
      <c r="J23" s="214"/>
      <c r="K23" s="214"/>
      <c r="L23" s="214"/>
      <c r="M23" s="225"/>
      <c r="N23" s="222"/>
    </row>
    <row r="24" spans="1:16" ht="66.75" customHeight="1">
      <c r="A24" s="210"/>
      <c r="B24" s="223" t="s">
        <v>1141</v>
      </c>
      <c r="C24" s="212" t="s">
        <v>1110</v>
      </c>
      <c r="D24" s="224" t="s">
        <v>1142</v>
      </c>
      <c r="E24" s="214"/>
      <c r="F24" s="214"/>
      <c r="G24" s="214"/>
      <c r="H24" s="214"/>
      <c r="I24" s="214"/>
      <c r="J24" s="214"/>
      <c r="K24" s="214"/>
      <c r="L24" s="214"/>
      <c r="M24" s="225"/>
      <c r="N24" s="222"/>
    </row>
    <row r="25" spans="1:16" ht="65.25" customHeight="1">
      <c r="A25" s="210"/>
      <c r="B25" s="223" t="s">
        <v>1143</v>
      </c>
      <c r="C25" s="212" t="s">
        <v>1110</v>
      </c>
      <c r="D25" s="224" t="s">
        <v>1144</v>
      </c>
      <c r="E25" s="214"/>
      <c r="F25" s="214"/>
      <c r="G25" s="214"/>
      <c r="H25" s="214"/>
      <c r="I25" s="214"/>
      <c r="J25" s="214"/>
      <c r="K25" s="214"/>
      <c r="L25" s="214"/>
      <c r="M25" s="215"/>
      <c r="N25" s="216"/>
    </row>
    <row r="26" spans="1:16" ht="47.25" customHeight="1">
      <c r="A26" s="210"/>
      <c r="B26" s="230" t="s">
        <v>1145</v>
      </c>
      <c r="C26" s="212" t="s">
        <v>1110</v>
      </c>
      <c r="D26" s="231" t="s">
        <v>1135</v>
      </c>
      <c r="E26" s="219"/>
      <c r="F26" s="219"/>
      <c r="G26" s="219"/>
      <c r="H26" s="219"/>
      <c r="I26" s="220"/>
      <c r="J26" s="221"/>
      <c r="K26" s="221"/>
      <c r="L26" s="221"/>
      <c r="M26" s="221"/>
      <c r="N26" s="222"/>
    </row>
    <row r="27" spans="1:16" ht="59.25" customHeight="1">
      <c r="A27" s="210"/>
      <c r="B27" s="223" t="s">
        <v>1146</v>
      </c>
      <c r="C27" s="212" t="s">
        <v>1110</v>
      </c>
      <c r="D27" s="224" t="s">
        <v>1147</v>
      </c>
      <c r="E27" s="219"/>
      <c r="F27" s="219"/>
      <c r="G27" s="219"/>
      <c r="H27" s="219"/>
      <c r="I27" s="220"/>
      <c r="J27" s="214"/>
      <c r="K27" s="214"/>
      <c r="L27" s="214"/>
      <c r="M27" s="215"/>
      <c r="N27" s="216"/>
    </row>
    <row r="28" spans="1:16" ht="38.25" customHeight="1">
      <c r="A28" s="210"/>
      <c r="B28" s="232" t="s">
        <v>1148</v>
      </c>
      <c r="C28" s="212" t="s">
        <v>1110</v>
      </c>
      <c r="D28" s="233" t="s">
        <v>1149</v>
      </c>
      <c r="E28" s="219"/>
      <c r="F28" s="219"/>
      <c r="G28" s="219"/>
      <c r="H28" s="219"/>
      <c r="I28" s="220"/>
      <c r="J28" s="221"/>
      <c r="K28" s="221"/>
      <c r="L28" s="221"/>
      <c r="M28" s="234"/>
      <c r="N28" s="216"/>
    </row>
    <row r="29" spans="1:16" s="237" customFormat="1" ht="19.5" thickBot="1">
      <c r="A29" s="235"/>
      <c r="B29" s="630" t="s">
        <v>1150</v>
      </c>
      <c r="C29" s="630"/>
      <c r="D29" s="630"/>
      <c r="E29" s="23">
        <v>1</v>
      </c>
      <c r="F29" s="23" t="s">
        <v>87</v>
      </c>
      <c r="G29" s="23">
        <v>1</v>
      </c>
      <c r="H29" s="23" t="s">
        <v>87</v>
      </c>
      <c r="I29" s="22">
        <v>1</v>
      </c>
      <c r="J29" s="19" t="s">
        <v>26</v>
      </c>
      <c r="K29" s="19" t="s">
        <v>26</v>
      </c>
      <c r="L29" s="19" t="s">
        <v>26</v>
      </c>
      <c r="M29" s="236">
        <f>PRODUCT(E29:L29)</f>
        <v>1</v>
      </c>
      <c r="N29" s="236" t="s">
        <v>23</v>
      </c>
      <c r="O29" s="237">
        <f>8*112</f>
        <v>896</v>
      </c>
      <c r="P29" s="237">
        <f>14*8</f>
        <v>112</v>
      </c>
    </row>
    <row r="30" spans="1:16" ht="19.5" thickTop="1">
      <c r="A30" s="206">
        <v>2</v>
      </c>
      <c r="B30" s="648" t="s">
        <v>1151</v>
      </c>
      <c r="C30" s="649"/>
      <c r="D30" s="650"/>
      <c r="E30" s="207"/>
      <c r="F30" s="207"/>
      <c r="G30" s="207"/>
      <c r="H30" s="207"/>
      <c r="I30" s="207"/>
      <c r="J30" s="208"/>
      <c r="K30" s="208"/>
      <c r="L30" s="208"/>
      <c r="M30" s="208"/>
      <c r="N30" s="209"/>
    </row>
    <row r="31" spans="1:16" ht="20.25" customHeight="1">
      <c r="A31" s="210"/>
      <c r="B31" s="211" t="s">
        <v>1109</v>
      </c>
      <c r="C31" s="212" t="s">
        <v>1110</v>
      </c>
      <c r="D31" s="213" t="s">
        <v>662</v>
      </c>
      <c r="E31" s="214"/>
      <c r="F31" s="214"/>
      <c r="G31" s="214"/>
      <c r="H31" s="214"/>
      <c r="I31" s="214"/>
      <c r="J31" s="214"/>
      <c r="K31" s="214"/>
      <c r="L31" s="214"/>
      <c r="M31" s="215"/>
      <c r="N31" s="216"/>
    </row>
    <row r="32" spans="1:16" ht="40.5" customHeight="1">
      <c r="A32" s="210"/>
      <c r="B32" s="217" t="s">
        <v>1112</v>
      </c>
      <c r="C32" s="212" t="s">
        <v>1110</v>
      </c>
      <c r="D32" s="218" t="s">
        <v>1152</v>
      </c>
      <c r="E32" s="219"/>
      <c r="F32" s="219"/>
      <c r="G32" s="219"/>
      <c r="H32" s="219"/>
      <c r="I32" s="220"/>
      <c r="J32" s="221"/>
      <c r="K32" s="221"/>
      <c r="L32" s="221"/>
      <c r="M32" s="221"/>
      <c r="N32" s="222"/>
    </row>
    <row r="33" spans="1:19" ht="24.75" customHeight="1">
      <c r="A33" s="210"/>
      <c r="B33" s="223" t="s">
        <v>1114</v>
      </c>
      <c r="C33" s="212" t="s">
        <v>1110</v>
      </c>
      <c r="D33" s="224" t="s">
        <v>1115</v>
      </c>
      <c r="E33" s="219"/>
      <c r="F33" s="219"/>
      <c r="G33" s="219"/>
      <c r="H33" s="219"/>
      <c r="I33" s="220"/>
      <c r="J33" s="221"/>
      <c r="K33" s="214"/>
      <c r="L33" s="214"/>
      <c r="M33" s="225"/>
      <c r="N33" s="222"/>
    </row>
    <row r="34" spans="1:19" ht="38.25" customHeight="1">
      <c r="A34" s="210"/>
      <c r="B34" s="223" t="s">
        <v>1116</v>
      </c>
      <c r="C34" s="212" t="s">
        <v>1110</v>
      </c>
      <c r="D34" s="224" t="s">
        <v>1117</v>
      </c>
      <c r="E34" s="219"/>
      <c r="F34" s="219"/>
      <c r="G34" s="219"/>
      <c r="H34" s="219"/>
      <c r="I34" s="220"/>
      <c r="J34" s="221"/>
      <c r="K34" s="214"/>
      <c r="L34" s="214"/>
      <c r="M34" s="225"/>
      <c r="N34" s="222"/>
      <c r="O34" s="204">
        <f>2.85*15</f>
        <v>42.75</v>
      </c>
      <c r="P34" s="204">
        <f>O34+2+1.5</f>
        <v>46.25</v>
      </c>
      <c r="R34" s="204">
        <f>12*2.85</f>
        <v>34.200000000000003</v>
      </c>
      <c r="S34" s="204">
        <f>R34+0.8</f>
        <v>35</v>
      </c>
    </row>
    <row r="35" spans="1:19" ht="20.25" customHeight="1">
      <c r="A35" s="210"/>
      <c r="B35" s="223" t="s">
        <v>1118</v>
      </c>
      <c r="C35" s="212" t="s">
        <v>1110</v>
      </c>
      <c r="D35" s="224" t="s">
        <v>1119</v>
      </c>
      <c r="E35" s="219"/>
      <c r="F35" s="219"/>
      <c r="G35" s="219"/>
      <c r="H35" s="219"/>
      <c r="I35" s="220"/>
      <c r="J35" s="221"/>
      <c r="K35" s="214"/>
      <c r="L35" s="214"/>
      <c r="M35" s="225"/>
      <c r="N35" s="222"/>
    </row>
    <row r="36" spans="1:19" ht="26.25" customHeight="1">
      <c r="A36" s="210"/>
      <c r="B36" s="223" t="s">
        <v>1120</v>
      </c>
      <c r="C36" s="212" t="s">
        <v>1110</v>
      </c>
      <c r="D36" s="224" t="s">
        <v>1121</v>
      </c>
      <c r="E36" s="219"/>
      <c r="F36" s="219"/>
      <c r="G36" s="219"/>
      <c r="H36" s="219"/>
      <c r="I36" s="220"/>
      <c r="J36" s="221"/>
      <c r="K36" s="214"/>
      <c r="L36" s="214"/>
      <c r="M36" s="225"/>
      <c r="N36" s="222"/>
    </row>
    <row r="37" spans="1:19" ht="38.25" customHeight="1">
      <c r="A37" s="210"/>
      <c r="B37" s="223" t="s">
        <v>1122</v>
      </c>
      <c r="C37" s="212" t="s">
        <v>1110</v>
      </c>
      <c r="D37" s="224" t="s">
        <v>1123</v>
      </c>
      <c r="E37" s="219"/>
      <c r="F37" s="219"/>
      <c r="G37" s="219"/>
      <c r="H37" s="219"/>
      <c r="I37" s="220"/>
      <c r="J37" s="221"/>
      <c r="K37" s="214"/>
      <c r="L37" s="214"/>
      <c r="M37" s="225"/>
      <c r="N37" s="222"/>
    </row>
    <row r="38" spans="1:19" ht="35.25" customHeight="1">
      <c r="A38" s="210"/>
      <c r="B38" s="223" t="s">
        <v>1124</v>
      </c>
      <c r="C38" s="212" t="s">
        <v>1110</v>
      </c>
      <c r="D38" s="224" t="s">
        <v>1125</v>
      </c>
      <c r="E38" s="219"/>
      <c r="F38" s="219"/>
      <c r="G38" s="219"/>
      <c r="H38" s="219"/>
      <c r="I38" s="220"/>
      <c r="J38" s="221"/>
      <c r="K38" s="221"/>
      <c r="L38" s="221"/>
      <c r="M38" s="225"/>
      <c r="N38" s="222"/>
    </row>
    <row r="39" spans="1:19" ht="23.25" customHeight="1">
      <c r="A39" s="210"/>
      <c r="B39" s="223" t="s">
        <v>1126</v>
      </c>
      <c r="C39" s="212" t="s">
        <v>1110</v>
      </c>
      <c r="D39" s="224" t="s">
        <v>1127</v>
      </c>
      <c r="E39" s="219"/>
      <c r="F39" s="219"/>
      <c r="G39" s="219"/>
      <c r="H39" s="219"/>
      <c r="I39" s="220"/>
      <c r="J39" s="221"/>
      <c r="K39" s="221"/>
      <c r="L39" s="221"/>
      <c r="M39" s="215"/>
      <c r="N39" s="216"/>
    </row>
    <row r="40" spans="1:19" ht="27" customHeight="1">
      <c r="A40" s="210"/>
      <c r="B40" s="226" t="s">
        <v>1128</v>
      </c>
      <c r="C40" s="212" t="s">
        <v>1110</v>
      </c>
      <c r="D40" s="218" t="s">
        <v>1129</v>
      </c>
      <c r="E40" s="219"/>
      <c r="F40" s="219"/>
      <c r="G40" s="219"/>
      <c r="H40" s="219"/>
      <c r="I40" s="220"/>
      <c r="J40" s="221"/>
      <c r="K40" s="221"/>
      <c r="L40" s="221"/>
      <c r="M40" s="221"/>
      <c r="N40" s="222"/>
    </row>
    <row r="41" spans="1:19" ht="32.25" customHeight="1">
      <c r="A41" s="210"/>
      <c r="B41" s="223" t="s">
        <v>1130</v>
      </c>
      <c r="C41" s="212" t="s">
        <v>1110</v>
      </c>
      <c r="D41" s="224" t="s">
        <v>1131</v>
      </c>
      <c r="E41" s="214"/>
      <c r="F41" s="214"/>
      <c r="G41" s="214"/>
      <c r="H41" s="214"/>
      <c r="I41" s="214"/>
      <c r="J41" s="214"/>
      <c r="K41" s="214"/>
      <c r="L41" s="214"/>
      <c r="M41" s="215"/>
      <c r="N41" s="216"/>
    </row>
    <row r="42" spans="1:19" ht="42.75" customHeight="1">
      <c r="A42" s="210"/>
      <c r="B42" s="227" t="s">
        <v>1132</v>
      </c>
      <c r="C42" s="212" t="s">
        <v>1110</v>
      </c>
      <c r="D42" s="228" t="s">
        <v>1153</v>
      </c>
      <c r="E42" s="214"/>
      <c r="F42" s="214"/>
      <c r="G42" s="214"/>
      <c r="H42" s="214"/>
      <c r="I42" s="214"/>
      <c r="J42" s="214"/>
      <c r="K42" s="214"/>
      <c r="L42" s="214"/>
      <c r="M42" s="225"/>
      <c r="N42" s="222"/>
    </row>
    <row r="43" spans="1:19" ht="32.25" customHeight="1">
      <c r="A43" s="210"/>
      <c r="B43" s="223" t="s">
        <v>1134</v>
      </c>
      <c r="C43" s="212" t="s">
        <v>1110</v>
      </c>
      <c r="D43" s="224" t="s">
        <v>1135</v>
      </c>
      <c r="E43" s="214"/>
      <c r="F43" s="214"/>
      <c r="G43" s="214"/>
      <c r="H43" s="214"/>
      <c r="I43" s="214"/>
      <c r="J43" s="214"/>
      <c r="K43" s="214"/>
      <c r="L43" s="214"/>
      <c r="M43" s="225"/>
      <c r="N43" s="222"/>
    </row>
    <row r="44" spans="1:19" ht="17.25" customHeight="1">
      <c r="A44" s="210"/>
      <c r="B44" s="229" t="s">
        <v>1136</v>
      </c>
      <c r="C44" s="212" t="s">
        <v>1110</v>
      </c>
      <c r="D44" s="224"/>
      <c r="E44" s="214"/>
      <c r="F44" s="214"/>
      <c r="G44" s="214"/>
      <c r="H44" s="214"/>
      <c r="I44" s="214"/>
      <c r="J44" s="214"/>
      <c r="K44" s="214"/>
      <c r="L44" s="214"/>
      <c r="M44" s="225"/>
      <c r="N44" s="222"/>
    </row>
    <row r="45" spans="1:19" ht="27">
      <c r="A45" s="210"/>
      <c r="B45" s="223" t="s">
        <v>1137</v>
      </c>
      <c r="C45" s="212" t="s">
        <v>1110</v>
      </c>
      <c r="D45" s="224" t="s">
        <v>1138</v>
      </c>
      <c r="E45" s="214"/>
      <c r="F45" s="214"/>
      <c r="G45" s="214"/>
      <c r="H45" s="214"/>
      <c r="I45" s="214"/>
      <c r="J45" s="214"/>
      <c r="K45" s="214"/>
      <c r="L45" s="214"/>
      <c r="M45" s="225"/>
      <c r="N45" s="222"/>
    </row>
    <row r="46" spans="1:19" ht="27" customHeight="1">
      <c r="A46" s="210"/>
      <c r="B46" s="223" t="s">
        <v>1139</v>
      </c>
      <c r="C46" s="212" t="s">
        <v>1110</v>
      </c>
      <c r="D46" s="224" t="s">
        <v>1140</v>
      </c>
      <c r="E46" s="214"/>
      <c r="F46" s="214"/>
      <c r="G46" s="214"/>
      <c r="H46" s="214"/>
      <c r="I46" s="214"/>
      <c r="J46" s="214"/>
      <c r="K46" s="214"/>
      <c r="L46" s="214"/>
      <c r="M46" s="225"/>
      <c r="N46" s="222"/>
    </row>
    <row r="47" spans="1:19" ht="56.25" customHeight="1">
      <c r="A47" s="210"/>
      <c r="B47" s="223" t="s">
        <v>1141</v>
      </c>
      <c r="C47" s="212" t="s">
        <v>1110</v>
      </c>
      <c r="D47" s="224" t="s">
        <v>1142</v>
      </c>
      <c r="E47" s="214"/>
      <c r="F47" s="214"/>
      <c r="G47" s="214"/>
      <c r="H47" s="214"/>
      <c r="I47" s="214"/>
      <c r="J47" s="214"/>
      <c r="K47" s="214"/>
      <c r="L47" s="214"/>
      <c r="M47" s="225"/>
      <c r="N47" s="222"/>
    </row>
    <row r="48" spans="1:19" ht="65.25" customHeight="1">
      <c r="A48" s="210"/>
      <c r="B48" s="223" t="s">
        <v>1143</v>
      </c>
      <c r="C48" s="212" t="s">
        <v>1110</v>
      </c>
      <c r="D48" s="224" t="s">
        <v>1144</v>
      </c>
      <c r="E48" s="214"/>
      <c r="F48" s="214"/>
      <c r="G48" s="214"/>
      <c r="H48" s="214"/>
      <c r="I48" s="214"/>
      <c r="J48" s="214"/>
      <c r="K48" s="214"/>
      <c r="L48" s="214"/>
      <c r="M48" s="215"/>
      <c r="N48" s="216"/>
    </row>
    <row r="49" spans="1:16" ht="47.25" customHeight="1">
      <c r="A49" s="210"/>
      <c r="B49" s="230" t="s">
        <v>1145</v>
      </c>
      <c r="C49" s="212" t="s">
        <v>1110</v>
      </c>
      <c r="D49" s="231" t="s">
        <v>1135</v>
      </c>
      <c r="E49" s="219"/>
      <c r="F49" s="219"/>
      <c r="G49" s="219"/>
      <c r="H49" s="219"/>
      <c r="I49" s="220"/>
      <c r="J49" s="221"/>
      <c r="K49" s="221"/>
      <c r="L49" s="221"/>
      <c r="M49" s="221"/>
      <c r="N49" s="222"/>
    </row>
    <row r="50" spans="1:16" ht="48.75" customHeight="1">
      <c r="A50" s="210"/>
      <c r="B50" s="223" t="s">
        <v>1146</v>
      </c>
      <c r="C50" s="212" t="s">
        <v>1110</v>
      </c>
      <c r="D50" s="224" t="s">
        <v>1147</v>
      </c>
      <c r="E50" s="219"/>
      <c r="F50" s="219"/>
      <c r="G50" s="219"/>
      <c r="H50" s="219"/>
      <c r="I50" s="220"/>
      <c r="J50" s="214"/>
      <c r="K50" s="214"/>
      <c r="L50" s="214"/>
      <c r="M50" s="215"/>
      <c r="N50" s="216"/>
    </row>
    <row r="51" spans="1:16" ht="38.25" customHeight="1">
      <c r="A51" s="210"/>
      <c r="B51" s="232" t="s">
        <v>1148</v>
      </c>
      <c r="C51" s="212" t="s">
        <v>1110</v>
      </c>
      <c r="D51" s="233" t="s">
        <v>1149</v>
      </c>
      <c r="E51" s="219"/>
      <c r="F51" s="219"/>
      <c r="G51" s="219"/>
      <c r="H51" s="219"/>
      <c r="I51" s="220"/>
      <c r="J51" s="221"/>
      <c r="K51" s="221"/>
      <c r="L51" s="221"/>
      <c r="M51" s="234"/>
      <c r="N51" s="216"/>
    </row>
    <row r="52" spans="1:16" ht="24" customHeight="1">
      <c r="A52" s="235"/>
      <c r="B52" s="630" t="s">
        <v>1176</v>
      </c>
      <c r="C52" s="630"/>
      <c r="D52" s="630"/>
      <c r="E52" s="23">
        <v>1</v>
      </c>
      <c r="F52" s="23" t="s">
        <v>87</v>
      </c>
      <c r="G52" s="23">
        <v>1</v>
      </c>
      <c r="H52" s="23" t="s">
        <v>87</v>
      </c>
      <c r="I52" s="22">
        <v>1</v>
      </c>
      <c r="J52" s="19"/>
      <c r="K52" s="19"/>
      <c r="L52" s="19"/>
      <c r="M52" s="236">
        <f>PRODUCT(E52:L52)</f>
        <v>1</v>
      </c>
      <c r="N52" s="236" t="s">
        <v>23</v>
      </c>
    </row>
    <row r="53" spans="1:16" ht="48" customHeight="1">
      <c r="A53" s="235">
        <v>3</v>
      </c>
      <c r="B53" s="651" t="s">
        <v>1154</v>
      </c>
      <c r="C53" s="651"/>
      <c r="D53" s="651"/>
      <c r="E53" s="23"/>
      <c r="F53" s="23"/>
      <c r="G53" s="23"/>
      <c r="H53" s="23"/>
      <c r="I53" s="22"/>
      <c r="J53" s="19"/>
      <c r="K53" s="19"/>
      <c r="L53" s="19"/>
      <c r="M53" s="19"/>
      <c r="N53" s="236"/>
    </row>
    <row r="54" spans="1:16" ht="15" customHeight="1">
      <c r="A54" s="235"/>
      <c r="B54" s="631" t="s">
        <v>1175</v>
      </c>
      <c r="C54" s="631"/>
      <c r="D54" s="631"/>
      <c r="E54" s="23"/>
      <c r="F54" s="23"/>
      <c r="G54" s="23"/>
      <c r="H54" s="23"/>
      <c r="I54" s="22"/>
      <c r="J54" s="19"/>
      <c r="K54" s="19"/>
      <c r="L54" s="19"/>
      <c r="M54" s="19"/>
      <c r="N54" s="236"/>
    </row>
    <row r="55" spans="1:16" ht="19.5" customHeight="1">
      <c r="A55" s="235"/>
      <c r="B55" s="630" t="s">
        <v>1155</v>
      </c>
      <c r="C55" s="630"/>
      <c r="D55" s="630"/>
      <c r="E55" s="23">
        <v>1</v>
      </c>
      <c r="F55" s="23" t="s">
        <v>87</v>
      </c>
      <c r="G55" s="23">
        <v>1</v>
      </c>
      <c r="H55" s="23" t="s">
        <v>87</v>
      </c>
      <c r="I55" s="22">
        <v>2</v>
      </c>
      <c r="J55" s="19" t="s">
        <v>26</v>
      </c>
      <c r="K55" s="19" t="s">
        <v>26</v>
      </c>
      <c r="L55" s="19" t="s">
        <v>26</v>
      </c>
      <c r="M55" s="236">
        <f>PRODUCT(E55:L55)</f>
        <v>2</v>
      </c>
      <c r="N55" s="236" t="s">
        <v>23</v>
      </c>
      <c r="O55" s="204">
        <f>13/88</f>
        <v>0.15</v>
      </c>
      <c r="P55" s="204">
        <f>O55*112</f>
        <v>16.8</v>
      </c>
    </row>
    <row r="56" spans="1:16" ht="19.5" customHeight="1">
      <c r="A56" s="235"/>
      <c r="B56" s="630" t="s">
        <v>1156</v>
      </c>
      <c r="C56" s="630"/>
      <c r="D56" s="630"/>
      <c r="E56" s="23">
        <v>1</v>
      </c>
      <c r="F56" s="23" t="s">
        <v>87</v>
      </c>
      <c r="G56" s="23">
        <v>1</v>
      </c>
      <c r="H56" s="23" t="s">
        <v>87</v>
      </c>
      <c r="I56" s="22">
        <v>2</v>
      </c>
      <c r="J56" s="19" t="s">
        <v>26</v>
      </c>
      <c r="K56" s="19" t="s">
        <v>26</v>
      </c>
      <c r="L56" s="19" t="s">
        <v>26</v>
      </c>
      <c r="M56" s="236">
        <f>PRODUCT(E56:L56)</f>
        <v>2</v>
      </c>
      <c r="N56" s="236" t="s">
        <v>23</v>
      </c>
    </row>
    <row r="57" spans="1:16" ht="20.25" customHeight="1">
      <c r="A57" s="235"/>
      <c r="B57" s="631"/>
      <c r="C57" s="631"/>
      <c r="D57" s="631"/>
      <c r="E57" s="23"/>
      <c r="F57" s="23"/>
      <c r="G57" s="23"/>
      <c r="H57" s="23"/>
      <c r="I57" s="22"/>
      <c r="J57" s="19"/>
      <c r="K57" s="19"/>
      <c r="L57" s="19"/>
      <c r="M57" s="19"/>
      <c r="N57" s="236"/>
    </row>
    <row r="58" spans="1:16">
      <c r="B58" s="239"/>
      <c r="C58" s="239"/>
      <c r="D58" s="239"/>
    </row>
    <row r="59" spans="1:16" ht="48.75" customHeight="1">
      <c r="B59" s="239"/>
      <c r="C59" s="239"/>
      <c r="D59" s="239"/>
    </row>
    <row r="60" spans="1:16">
      <c r="B60" s="239"/>
      <c r="C60" s="239"/>
      <c r="D60" s="239"/>
    </row>
    <row r="61" spans="1:16" s="242" customFormat="1">
      <c r="A61" s="11"/>
      <c r="B61" s="353" t="s">
        <v>1263</v>
      </c>
      <c r="C61" s="629" t="s">
        <v>1299</v>
      </c>
      <c r="D61" s="629"/>
      <c r="E61" s="629"/>
      <c r="F61" s="629"/>
      <c r="G61" s="629"/>
      <c r="H61" s="629"/>
      <c r="I61" s="11"/>
      <c r="J61" s="629" t="s">
        <v>106</v>
      </c>
      <c r="K61" s="629"/>
      <c r="L61" s="629"/>
      <c r="M61" s="629"/>
      <c r="N61" s="629"/>
      <c r="O61" s="204"/>
      <c r="P61" s="204"/>
    </row>
    <row r="62" spans="1:16" s="242" customFormat="1">
      <c r="A62" s="11"/>
      <c r="B62" s="11"/>
      <c r="C62" s="11"/>
      <c r="D62" s="11"/>
      <c r="E62" s="11"/>
      <c r="F62" s="11"/>
      <c r="G62" s="11"/>
      <c r="H62" s="11"/>
      <c r="I62" s="11"/>
      <c r="J62" s="629" t="s">
        <v>1264</v>
      </c>
      <c r="K62" s="629"/>
      <c r="L62" s="629"/>
      <c r="M62" s="629"/>
      <c r="N62" s="629"/>
      <c r="O62" s="204"/>
      <c r="P62" s="204"/>
    </row>
    <row r="63" spans="1:16" s="242" customFormat="1">
      <c r="A63" s="238"/>
      <c r="B63" s="239"/>
      <c r="C63" s="239"/>
      <c r="D63" s="239"/>
      <c r="E63" s="238"/>
      <c r="F63" s="238"/>
      <c r="G63" s="238"/>
      <c r="H63" s="238"/>
      <c r="I63" s="240"/>
      <c r="J63" s="204"/>
      <c r="K63" s="204"/>
      <c r="L63" s="204"/>
      <c r="M63" s="241"/>
      <c r="O63" s="204"/>
      <c r="P63" s="204"/>
    </row>
    <row r="64" spans="1:16" s="242" customFormat="1">
      <c r="A64" s="238"/>
      <c r="B64" s="204"/>
      <c r="C64" s="204"/>
      <c r="D64" s="204"/>
      <c r="E64" s="238"/>
      <c r="F64" s="238"/>
      <c r="G64" s="238"/>
      <c r="H64" s="238"/>
      <c r="I64" s="240"/>
      <c r="J64" s="204"/>
      <c r="K64" s="204"/>
      <c r="L64" s="204"/>
      <c r="M64" s="241"/>
      <c r="O64" s="204"/>
      <c r="P64" s="204"/>
    </row>
  </sheetData>
  <mergeCells count="21">
    <mergeCell ref="B54:D54"/>
    <mergeCell ref="A1:N1"/>
    <mergeCell ref="A2:N2"/>
    <mergeCell ref="A3:N3"/>
    <mergeCell ref="A4:N4"/>
    <mergeCell ref="A5:A6"/>
    <mergeCell ref="B5:D6"/>
    <mergeCell ref="E5:I6"/>
    <mergeCell ref="J5:L5"/>
    <mergeCell ref="M5:N6"/>
    <mergeCell ref="B7:D7"/>
    <mergeCell ref="B29:D29"/>
    <mergeCell ref="B30:D30"/>
    <mergeCell ref="B52:D52"/>
    <mergeCell ref="B53:D53"/>
    <mergeCell ref="J61:N61"/>
    <mergeCell ref="J62:N62"/>
    <mergeCell ref="C61:H61"/>
    <mergeCell ref="B55:D55"/>
    <mergeCell ref="B56:D56"/>
    <mergeCell ref="B57:D57"/>
  </mergeCells>
  <pageMargins left="0.4" right="0.23622047244094499" top="0.51" bottom="0.5" header="0.43307086614173201" footer="0.15748031496063"/>
  <pageSetup paperSize="9" scale="75" orientation="portrait" verticalDpi="300" r:id="rId1"/>
  <headerFooter>
    <oddHeader>Page &amp;P</oddHeader>
  </headerFooter>
</worksheet>
</file>

<file path=xl/worksheets/sheet7.xml><?xml version="1.0" encoding="utf-8"?>
<worksheet xmlns="http://schemas.openxmlformats.org/spreadsheetml/2006/main" xmlns:r="http://schemas.openxmlformats.org/officeDocument/2006/relationships">
  <dimension ref="A1:H33"/>
  <sheetViews>
    <sheetView view="pageBreakPreview" zoomScale="115" zoomScaleSheetLayoutView="115" workbookViewId="0">
      <selection sqref="A1:H1"/>
    </sheetView>
  </sheetViews>
  <sheetFormatPr defaultRowHeight="15.75"/>
  <cols>
    <col min="1" max="1" width="5.33203125" customWidth="1"/>
    <col min="2" max="2" width="33.5546875" customWidth="1"/>
    <col min="3" max="8" width="6.44140625" customWidth="1"/>
  </cols>
  <sheetData>
    <row r="1" spans="1:8" ht="42" customHeight="1">
      <c r="A1" s="652" t="s">
        <v>1255</v>
      </c>
      <c r="B1" s="652"/>
      <c r="C1" s="652"/>
      <c r="D1" s="652"/>
      <c r="E1" s="652"/>
      <c r="F1" s="652"/>
      <c r="G1" s="652"/>
      <c r="H1" s="652"/>
    </row>
    <row r="2" spans="1:8" ht="23.25" customHeight="1">
      <c r="A2" s="248"/>
      <c r="B2" s="653" t="s">
        <v>1182</v>
      </c>
      <c r="C2" s="653"/>
      <c r="D2" s="653"/>
      <c r="E2" s="653"/>
      <c r="F2" s="653"/>
      <c r="G2" s="653"/>
      <c r="H2" s="653"/>
    </row>
    <row r="3" spans="1:8">
      <c r="A3" s="249" t="s">
        <v>1096</v>
      </c>
      <c r="B3" s="249" t="s">
        <v>33</v>
      </c>
      <c r="C3" s="654" t="s">
        <v>23</v>
      </c>
      <c r="D3" s="654"/>
      <c r="E3" s="249" t="s">
        <v>859</v>
      </c>
      <c r="F3" s="249" t="s">
        <v>25</v>
      </c>
      <c r="G3" s="249" t="s">
        <v>66</v>
      </c>
      <c r="H3" s="249" t="s">
        <v>18</v>
      </c>
    </row>
    <row r="4" spans="1:8" ht="30.75" customHeight="1">
      <c r="A4" s="200"/>
      <c r="B4" s="197" t="s">
        <v>1183</v>
      </c>
      <c r="C4" s="201"/>
      <c r="D4" s="201"/>
      <c r="E4" s="201"/>
      <c r="F4" s="201"/>
      <c r="G4" s="201"/>
      <c r="H4" s="202"/>
    </row>
    <row r="5" spans="1:8">
      <c r="A5" s="200"/>
      <c r="B5" s="200"/>
      <c r="C5" s="201"/>
      <c r="D5" s="201"/>
      <c r="E5" s="202"/>
      <c r="F5" s="202"/>
      <c r="G5" s="202"/>
      <c r="H5" s="202"/>
    </row>
    <row r="6" spans="1:8" ht="29.25">
      <c r="A6" s="192">
        <v>1</v>
      </c>
      <c r="B6" s="197" t="s">
        <v>1184</v>
      </c>
      <c r="C6" s="201"/>
      <c r="D6" s="201"/>
      <c r="E6" s="202"/>
      <c r="F6" s="202"/>
      <c r="G6" s="202"/>
      <c r="H6" s="198"/>
    </row>
    <row r="7" spans="1:8">
      <c r="A7" s="192"/>
      <c r="B7" s="200" t="s">
        <v>1104</v>
      </c>
      <c r="C7" s="201">
        <v>1</v>
      </c>
      <c r="D7" s="201">
        <v>1</v>
      </c>
      <c r="E7" s="202">
        <v>1</v>
      </c>
      <c r="F7" s="202"/>
      <c r="G7" s="202"/>
      <c r="H7" s="202">
        <f>PRODUCT(C7:G7)</f>
        <v>1</v>
      </c>
    </row>
    <row r="8" spans="1:8">
      <c r="A8" s="192"/>
      <c r="B8" s="200"/>
      <c r="C8" s="201"/>
      <c r="D8" s="201"/>
      <c r="E8" s="202"/>
      <c r="F8" s="202"/>
      <c r="G8" s="202"/>
      <c r="H8" s="202">
        <f>SUM(H7:H7)</f>
        <v>1</v>
      </c>
    </row>
    <row r="9" spans="1:8">
      <c r="A9" s="192"/>
      <c r="B9" s="200"/>
      <c r="C9" s="201"/>
      <c r="D9" s="201"/>
      <c r="E9" s="202"/>
      <c r="F9" s="198" t="s">
        <v>55</v>
      </c>
      <c r="G9" s="203">
        <f>ROUNDUP(H8,1)</f>
        <v>1</v>
      </c>
      <c r="H9" s="198" t="s">
        <v>59</v>
      </c>
    </row>
    <row r="10" spans="1:8" ht="43.5">
      <c r="A10" s="192">
        <v>2</v>
      </c>
      <c r="B10" s="197" t="s">
        <v>1185</v>
      </c>
      <c r="C10" s="201"/>
      <c r="D10" s="201"/>
      <c r="E10" s="202"/>
      <c r="F10" s="202"/>
      <c r="G10" s="202"/>
      <c r="H10" s="198"/>
    </row>
    <row r="11" spans="1:8">
      <c r="A11" s="192"/>
      <c r="B11" s="200" t="s">
        <v>1104</v>
      </c>
      <c r="C11" s="201">
        <v>1</v>
      </c>
      <c r="D11" s="201">
        <v>1</v>
      </c>
      <c r="E11" s="202">
        <v>1</v>
      </c>
      <c r="F11" s="202"/>
      <c r="G11" s="202"/>
      <c r="H11" s="202">
        <f>PRODUCT(C11:G11)</f>
        <v>1</v>
      </c>
    </row>
    <row r="12" spans="1:8">
      <c r="A12" s="192"/>
      <c r="B12" s="200"/>
      <c r="C12" s="201"/>
      <c r="D12" s="201"/>
      <c r="E12" s="202"/>
      <c r="F12" s="202"/>
      <c r="G12" s="202"/>
      <c r="H12" s="202">
        <f>SUM(H11:H11)</f>
        <v>1</v>
      </c>
    </row>
    <row r="13" spans="1:8">
      <c r="A13" s="192"/>
      <c r="B13" s="200"/>
      <c r="C13" s="201"/>
      <c r="D13" s="201"/>
      <c r="E13" s="202"/>
      <c r="F13" s="198" t="s">
        <v>55</v>
      </c>
      <c r="G13" s="203">
        <f>ROUNDUP(H12,1)</f>
        <v>1</v>
      </c>
      <c r="H13" s="198" t="s">
        <v>59</v>
      </c>
    </row>
    <row r="14" spans="1:8" ht="29.25">
      <c r="A14" s="192">
        <v>3</v>
      </c>
      <c r="B14" s="197" t="s">
        <v>1186</v>
      </c>
      <c r="C14" s="201"/>
      <c r="D14" s="201"/>
      <c r="E14" s="202"/>
      <c r="F14" s="202"/>
      <c r="G14" s="202"/>
      <c r="H14" s="198"/>
    </row>
    <row r="15" spans="1:8">
      <c r="A15" s="192"/>
      <c r="B15" s="197" t="s">
        <v>1187</v>
      </c>
      <c r="C15" s="201">
        <v>1</v>
      </c>
      <c r="D15" s="201">
        <v>1</v>
      </c>
      <c r="E15" s="202">
        <v>80</v>
      </c>
      <c r="F15" s="202"/>
      <c r="G15" s="202"/>
      <c r="H15" s="202">
        <f>PRODUCT(C15:G15)</f>
        <v>80</v>
      </c>
    </row>
    <row r="16" spans="1:8">
      <c r="A16" s="192"/>
      <c r="B16" s="197"/>
      <c r="C16" s="201"/>
      <c r="D16" s="201"/>
      <c r="E16" s="202"/>
      <c r="F16" s="202"/>
      <c r="G16" s="202"/>
      <c r="H16" s="202">
        <f>SUM(H15:H15)</f>
        <v>80</v>
      </c>
    </row>
    <row r="17" spans="1:8">
      <c r="A17" s="192"/>
      <c r="B17" s="197"/>
      <c r="C17" s="201"/>
      <c r="D17" s="201"/>
      <c r="E17" s="202"/>
      <c r="F17" s="198" t="s">
        <v>55</v>
      </c>
      <c r="G17" s="203">
        <f>ROUNDUP(H16,1)</f>
        <v>80</v>
      </c>
      <c r="H17" s="198" t="s">
        <v>12</v>
      </c>
    </row>
    <row r="18" spans="1:8" ht="29.25">
      <c r="A18" s="192">
        <v>4</v>
      </c>
      <c r="B18" s="197" t="s">
        <v>1188</v>
      </c>
      <c r="C18" s="201"/>
      <c r="D18" s="201"/>
      <c r="E18" s="202"/>
      <c r="F18" s="202"/>
      <c r="G18" s="202"/>
      <c r="H18" s="198"/>
    </row>
    <row r="19" spans="1:8">
      <c r="A19" s="192"/>
      <c r="B19" s="200" t="s">
        <v>1104</v>
      </c>
      <c r="C19" s="201">
        <v>1</v>
      </c>
      <c r="D19" s="201">
        <v>1</v>
      </c>
      <c r="E19" s="202">
        <v>1</v>
      </c>
      <c r="F19" s="202"/>
      <c r="G19" s="202"/>
      <c r="H19" s="202">
        <f>PRODUCT(C19:G19)</f>
        <v>1</v>
      </c>
    </row>
    <row r="20" spans="1:8">
      <c r="A20" s="192"/>
      <c r="B20" s="200"/>
      <c r="C20" s="201"/>
      <c r="D20" s="201"/>
      <c r="E20" s="202"/>
      <c r="F20" s="202"/>
      <c r="G20" s="202"/>
      <c r="H20" s="202">
        <f>SUM(H19:H19)</f>
        <v>1</v>
      </c>
    </row>
    <row r="21" spans="1:8">
      <c r="A21" s="192"/>
      <c r="B21" s="200"/>
      <c r="C21" s="201"/>
      <c r="D21" s="201"/>
      <c r="E21" s="202"/>
      <c r="F21" s="198" t="s">
        <v>55</v>
      </c>
      <c r="G21" s="203">
        <f>ROUNDUP(H20,1)</f>
        <v>1</v>
      </c>
      <c r="H21" s="198" t="s">
        <v>59</v>
      </c>
    </row>
    <row r="22" spans="1:8" ht="31.5">
      <c r="A22" s="192">
        <v>5</v>
      </c>
      <c r="B22" s="247" t="s">
        <v>1189</v>
      </c>
      <c r="C22" s="201"/>
      <c r="D22" s="201"/>
      <c r="E22" s="202"/>
      <c r="F22" s="198"/>
      <c r="G22" s="203"/>
      <c r="H22" s="198"/>
    </row>
    <row r="23" spans="1:8">
      <c r="A23" s="192"/>
      <c r="B23" s="200" t="s">
        <v>1104</v>
      </c>
      <c r="C23" s="201">
        <v>1</v>
      </c>
      <c r="D23" s="201">
        <v>1</v>
      </c>
      <c r="E23" s="202">
        <v>1</v>
      </c>
      <c r="F23" s="202"/>
      <c r="G23" s="202"/>
      <c r="H23" s="202">
        <f>PRODUCT(C23:G23)</f>
        <v>1</v>
      </c>
    </row>
    <row r="24" spans="1:8">
      <c r="A24" s="192"/>
      <c r="B24" s="200"/>
      <c r="C24" s="201"/>
      <c r="D24" s="201"/>
      <c r="E24" s="202"/>
      <c r="F24" s="202"/>
      <c r="G24" s="202"/>
      <c r="H24" s="202">
        <f>SUM(H23:H23)</f>
        <v>1</v>
      </c>
    </row>
    <row r="25" spans="1:8">
      <c r="A25" s="192"/>
      <c r="B25" s="200"/>
      <c r="C25" s="201"/>
      <c r="D25" s="201"/>
      <c r="E25" s="202"/>
      <c r="F25" s="198" t="s">
        <v>55</v>
      </c>
      <c r="G25" s="203">
        <f>ROUNDUP(H24,1)</f>
        <v>1</v>
      </c>
      <c r="H25" s="198" t="s">
        <v>59</v>
      </c>
    </row>
    <row r="26" spans="1:8" ht="47.25">
      <c r="A26" s="192">
        <v>6</v>
      </c>
      <c r="B26" s="247" t="s">
        <v>1190</v>
      </c>
      <c r="C26" s="201"/>
      <c r="D26" s="201"/>
      <c r="E26" s="202"/>
      <c r="F26" s="198"/>
      <c r="G26" s="203"/>
      <c r="H26" s="198"/>
    </row>
    <row r="27" spans="1:8">
      <c r="A27" s="192"/>
      <c r="B27" s="200" t="s">
        <v>7</v>
      </c>
      <c r="C27" s="201">
        <v>1</v>
      </c>
      <c r="D27" s="201">
        <v>1</v>
      </c>
      <c r="E27" s="202">
        <v>2</v>
      </c>
      <c r="F27" s="202"/>
      <c r="G27" s="202"/>
      <c r="H27" s="202">
        <f>PRODUCT(C27:G27)</f>
        <v>2</v>
      </c>
    </row>
    <row r="28" spans="1:8">
      <c r="A28" s="192"/>
      <c r="B28" s="200"/>
      <c r="C28" s="201"/>
      <c r="D28" s="201"/>
      <c r="E28" s="202"/>
      <c r="F28" s="202"/>
      <c r="G28" s="202"/>
      <c r="H28" s="202">
        <f>SUM(H27:H27)</f>
        <v>2</v>
      </c>
    </row>
    <row r="29" spans="1:8" ht="31.5">
      <c r="A29" s="192">
        <v>7</v>
      </c>
      <c r="B29" s="247" t="s">
        <v>1191</v>
      </c>
      <c r="C29" s="201"/>
      <c r="D29" s="201"/>
      <c r="E29" s="202"/>
      <c r="F29" s="198" t="s">
        <v>55</v>
      </c>
      <c r="G29" s="203">
        <f>ROUNDUP(H28,1)</f>
        <v>2</v>
      </c>
      <c r="H29" s="198" t="s">
        <v>59</v>
      </c>
    </row>
    <row r="30" spans="1:8">
      <c r="A30" s="192"/>
      <c r="B30" s="200" t="s">
        <v>1104</v>
      </c>
      <c r="C30" s="201">
        <v>1</v>
      </c>
      <c r="D30" s="201">
        <v>1</v>
      </c>
      <c r="E30" s="202">
        <v>1</v>
      </c>
      <c r="F30" s="202"/>
      <c r="G30" s="202"/>
      <c r="H30" s="202">
        <f>PRODUCT(C30:G30)</f>
        <v>1</v>
      </c>
    </row>
    <row r="31" spans="1:8">
      <c r="A31" s="192"/>
      <c r="B31" s="200"/>
      <c r="C31" s="201"/>
      <c r="D31" s="201"/>
      <c r="E31" s="202"/>
      <c r="F31" s="202"/>
      <c r="G31" s="202"/>
      <c r="H31" s="202">
        <f>SUM(H30:H30)</f>
        <v>1</v>
      </c>
    </row>
    <row r="32" spans="1:8">
      <c r="A32" s="192"/>
      <c r="B32" s="200"/>
      <c r="C32" s="201"/>
      <c r="D32" s="201"/>
      <c r="E32" s="202"/>
      <c r="F32" s="198" t="s">
        <v>55</v>
      </c>
      <c r="G32" s="203">
        <f>ROUNDUP(H31,1)</f>
        <v>1</v>
      </c>
      <c r="H32" s="198" t="s">
        <v>59</v>
      </c>
    </row>
    <row r="33" spans="1:8">
      <c r="A33" s="192"/>
      <c r="B33" s="200"/>
      <c r="C33" s="201"/>
      <c r="D33" s="201"/>
      <c r="E33" s="202"/>
      <c r="F33" s="198"/>
      <c r="G33" s="203"/>
      <c r="H33" s="198"/>
    </row>
  </sheetData>
  <mergeCells count="3">
    <mergeCell ref="A1:H1"/>
    <mergeCell ref="B2:H2"/>
    <mergeCell ref="C3:D3"/>
  </mergeCells>
  <pageMargins left="0.7" right="0.7" top="0.75" bottom="0.75" header="0.3" footer="0.3"/>
  <pageSetup paperSize="9" scale="90" orientation="portrait" r:id="rId1"/>
</worksheet>
</file>

<file path=xl/worksheets/sheet8.xml><?xml version="1.0" encoding="utf-8"?>
<worksheet xmlns="http://schemas.openxmlformats.org/spreadsheetml/2006/main" xmlns:r="http://schemas.openxmlformats.org/officeDocument/2006/relationships">
  <sheetPr>
    <tabColor rgb="FFFFFF00"/>
  </sheetPr>
  <dimension ref="A1:I117"/>
  <sheetViews>
    <sheetView tabSelected="1" view="pageBreakPreview" topLeftCell="A40" zoomScaleSheetLayoutView="100" workbookViewId="0">
      <selection activeCell="E43" sqref="E43"/>
    </sheetView>
  </sheetViews>
  <sheetFormatPr defaultRowHeight="15.75"/>
  <cols>
    <col min="2" max="2" width="27.44140625" customWidth="1"/>
    <col min="3" max="4" width="4.44140625" customWidth="1"/>
    <col min="5" max="8" width="6.77734375" customWidth="1"/>
    <col min="9" max="9" width="5.44140625" customWidth="1"/>
  </cols>
  <sheetData>
    <row r="1" spans="1:9" ht="52.5" customHeight="1">
      <c r="A1" s="655" t="s">
        <v>1296</v>
      </c>
      <c r="B1" s="655"/>
      <c r="C1" s="655"/>
      <c r="D1" s="655"/>
      <c r="E1" s="655"/>
      <c r="F1" s="655"/>
      <c r="G1" s="655"/>
      <c r="H1" s="655"/>
      <c r="I1" s="655"/>
    </row>
    <row r="2" spans="1:9" ht="24" customHeight="1">
      <c r="A2" s="654" t="s">
        <v>1252</v>
      </c>
      <c r="B2" s="654"/>
      <c r="C2" s="654"/>
      <c r="D2" s="654"/>
      <c r="E2" s="654"/>
      <c r="F2" s="654"/>
      <c r="G2" s="654"/>
      <c r="H2" s="654"/>
      <c r="I2" s="654"/>
    </row>
    <row r="3" spans="1:9">
      <c r="A3" s="654" t="s">
        <v>1016</v>
      </c>
      <c r="B3" s="654" t="s">
        <v>33</v>
      </c>
      <c r="C3" s="654" t="s">
        <v>23</v>
      </c>
      <c r="D3" s="654"/>
      <c r="E3" s="626" t="s">
        <v>81</v>
      </c>
      <c r="F3" s="626"/>
      <c r="G3" s="626"/>
      <c r="H3" s="654" t="s">
        <v>18</v>
      </c>
      <c r="I3" s="654"/>
    </row>
    <row r="4" spans="1:9">
      <c r="A4" s="654"/>
      <c r="B4" s="654"/>
      <c r="C4" s="654"/>
      <c r="D4" s="654"/>
      <c r="E4" s="192" t="s">
        <v>859</v>
      </c>
      <c r="F4" s="192" t="s">
        <v>25</v>
      </c>
      <c r="G4" s="192" t="s">
        <v>66</v>
      </c>
      <c r="H4" s="654"/>
      <c r="I4" s="654"/>
    </row>
    <row r="5" spans="1:9" ht="45">
      <c r="A5" s="195">
        <v>1</v>
      </c>
      <c r="B5" s="250" t="s">
        <v>1192</v>
      </c>
      <c r="C5" s="191"/>
      <c r="D5" s="191"/>
      <c r="E5" s="191"/>
      <c r="F5" s="191"/>
      <c r="G5" s="191"/>
      <c r="H5" s="191"/>
      <c r="I5" s="251"/>
    </row>
    <row r="6" spans="1:9">
      <c r="A6" s="195"/>
      <c r="B6" s="250" t="s">
        <v>1193</v>
      </c>
      <c r="C6" s="191"/>
      <c r="D6" s="191"/>
      <c r="E6" s="191"/>
      <c r="F6" s="191"/>
      <c r="G6" s="191"/>
      <c r="H6" s="191"/>
      <c r="I6" s="251"/>
    </row>
    <row r="7" spans="1:9">
      <c r="A7" s="195"/>
      <c r="B7" s="197" t="s">
        <v>1194</v>
      </c>
      <c r="C7" s="252">
        <v>1</v>
      </c>
      <c r="D7" s="252">
        <v>1</v>
      </c>
      <c r="E7" s="253">
        <v>150</v>
      </c>
      <c r="F7" s="254"/>
      <c r="G7" s="254"/>
      <c r="H7" s="253">
        <f>PRODUCT(C7:G7)</f>
        <v>150</v>
      </c>
      <c r="I7" s="251"/>
    </row>
    <row r="8" spans="1:9">
      <c r="A8" s="195"/>
      <c r="B8" s="197"/>
      <c r="C8" s="252"/>
      <c r="D8" s="252"/>
      <c r="E8" s="253"/>
      <c r="F8" s="254"/>
      <c r="G8" s="254"/>
      <c r="H8" s="253"/>
      <c r="I8" s="251"/>
    </row>
    <row r="9" spans="1:9">
      <c r="A9" s="195"/>
      <c r="B9" s="197" t="s">
        <v>1195</v>
      </c>
      <c r="C9" s="252"/>
      <c r="D9" s="252"/>
      <c r="E9" s="253"/>
      <c r="F9" s="254"/>
      <c r="G9" s="254"/>
      <c r="H9" s="253"/>
      <c r="I9" s="251"/>
    </row>
    <row r="10" spans="1:9">
      <c r="A10" s="195"/>
      <c r="B10" s="197" t="s">
        <v>1194</v>
      </c>
      <c r="C10" s="252">
        <v>1</v>
      </c>
      <c r="D10" s="252">
        <v>1</v>
      </c>
      <c r="E10" s="253">
        <v>30</v>
      </c>
      <c r="F10" s="254"/>
      <c r="G10" s="254"/>
      <c r="H10" s="253">
        <f>PRODUCT(C10:G10)</f>
        <v>30</v>
      </c>
      <c r="I10" s="251"/>
    </row>
    <row r="11" spans="1:9">
      <c r="A11" s="195"/>
      <c r="B11" s="197" t="s">
        <v>1196</v>
      </c>
      <c r="C11" s="252"/>
      <c r="D11" s="252"/>
      <c r="E11" s="253"/>
      <c r="F11" s="254"/>
      <c r="G11" s="254"/>
      <c r="H11" s="253"/>
      <c r="I11" s="251"/>
    </row>
    <row r="12" spans="1:9">
      <c r="A12" s="195"/>
      <c r="B12" s="197" t="s">
        <v>1194</v>
      </c>
      <c r="C12" s="252">
        <v>1</v>
      </c>
      <c r="D12" s="252">
        <v>1</v>
      </c>
      <c r="E12" s="253">
        <v>30</v>
      </c>
      <c r="F12" s="254"/>
      <c r="G12" s="254"/>
      <c r="H12" s="253">
        <f>PRODUCT(C12:G12)</f>
        <v>30</v>
      </c>
      <c r="I12" s="251"/>
    </row>
    <row r="13" spans="1:9">
      <c r="A13" s="195"/>
      <c r="B13" s="197" t="s">
        <v>1197</v>
      </c>
      <c r="C13" s="252"/>
      <c r="D13" s="252"/>
      <c r="E13" s="253"/>
      <c r="F13" s="254"/>
      <c r="G13" s="254"/>
      <c r="H13" s="253"/>
      <c r="I13" s="251"/>
    </row>
    <row r="14" spans="1:9">
      <c r="A14" s="195"/>
      <c r="B14" s="197" t="s">
        <v>1194</v>
      </c>
      <c r="C14" s="252">
        <v>1</v>
      </c>
      <c r="D14" s="252">
        <v>1</v>
      </c>
      <c r="E14" s="253">
        <v>30</v>
      </c>
      <c r="F14" s="254"/>
      <c r="G14" s="254"/>
      <c r="H14" s="253">
        <f>PRODUCT(C14:G14)</f>
        <v>30</v>
      </c>
      <c r="I14" s="251"/>
    </row>
    <row r="15" spans="1:9">
      <c r="A15" s="195"/>
      <c r="B15" s="197"/>
      <c r="C15" s="252"/>
      <c r="D15" s="252"/>
      <c r="E15" s="253"/>
      <c r="F15" s="254"/>
      <c r="G15" s="254"/>
      <c r="H15" s="253"/>
      <c r="I15" s="251"/>
    </row>
    <row r="16" spans="1:9">
      <c r="A16" s="195"/>
      <c r="B16" s="197"/>
      <c r="C16" s="252"/>
      <c r="D16" s="252"/>
      <c r="E16" s="253"/>
      <c r="F16" s="255"/>
      <c r="G16" s="256"/>
      <c r="H16" s="256"/>
      <c r="I16" s="251"/>
    </row>
    <row r="17" spans="1:9" ht="60">
      <c r="A17" s="195">
        <v>2</v>
      </c>
      <c r="B17" s="250" t="s">
        <v>1198</v>
      </c>
      <c r="C17" s="191"/>
      <c r="D17" s="191"/>
      <c r="E17" s="191"/>
      <c r="F17" s="191"/>
      <c r="G17" s="191"/>
      <c r="H17" s="191"/>
      <c r="I17" s="251"/>
    </row>
    <row r="18" spans="1:9">
      <c r="A18" s="195"/>
      <c r="B18" s="197" t="s">
        <v>1253</v>
      </c>
      <c r="C18" s="252">
        <v>1</v>
      </c>
      <c r="D18" s="252">
        <v>1</v>
      </c>
      <c r="E18" s="253">
        <v>30</v>
      </c>
      <c r="F18" s="254"/>
      <c r="G18" s="254"/>
      <c r="H18" s="253">
        <f>PRODUCT(C18:G18)</f>
        <v>30</v>
      </c>
      <c r="I18" s="251"/>
    </row>
    <row r="19" spans="1:9">
      <c r="A19" s="195"/>
      <c r="B19" s="197"/>
      <c r="C19" s="252"/>
      <c r="D19" s="252"/>
      <c r="E19" s="253"/>
      <c r="F19" s="255" t="s">
        <v>55</v>
      </c>
      <c r="G19" s="256">
        <f>ROUNDUP(H18,1)</f>
        <v>30</v>
      </c>
      <c r="H19" s="256" t="s">
        <v>12</v>
      </c>
      <c r="I19" s="251"/>
    </row>
    <row r="20" spans="1:9">
      <c r="A20" s="195"/>
      <c r="B20" s="197"/>
      <c r="C20" s="191"/>
      <c r="D20" s="191"/>
      <c r="E20" s="191"/>
      <c r="F20" s="191"/>
      <c r="G20" s="191"/>
      <c r="H20" s="191"/>
      <c r="I20" s="251"/>
    </row>
    <row r="21" spans="1:9" ht="30">
      <c r="A21" s="195">
        <v>3</v>
      </c>
      <c r="B21" s="250" t="s">
        <v>1199</v>
      </c>
      <c r="C21" s="191"/>
      <c r="D21" s="191"/>
      <c r="E21" s="191"/>
      <c r="F21" s="191"/>
      <c r="G21" s="191"/>
      <c r="H21" s="191"/>
      <c r="I21" s="251"/>
    </row>
    <row r="22" spans="1:9">
      <c r="A22" s="195"/>
      <c r="B22" s="197" t="s">
        <v>1194</v>
      </c>
      <c r="C22" s="252">
        <v>1</v>
      </c>
      <c r="D22" s="252">
        <v>1</v>
      </c>
      <c r="E22" s="253">
        <v>1</v>
      </c>
      <c r="F22" s="254"/>
      <c r="G22" s="254"/>
      <c r="H22" s="253">
        <f>PRODUCT(C22:G22)</f>
        <v>1</v>
      </c>
      <c r="I22" s="251"/>
    </row>
    <row r="23" spans="1:9">
      <c r="A23" s="195"/>
      <c r="B23" s="257" t="s">
        <v>1200</v>
      </c>
      <c r="C23" s="252"/>
      <c r="D23" s="252"/>
      <c r="E23" s="253"/>
      <c r="F23" s="255" t="s">
        <v>55</v>
      </c>
      <c r="G23" s="256">
        <f>ROUNDUP(H22,1)</f>
        <v>1</v>
      </c>
      <c r="H23" s="256" t="s">
        <v>22</v>
      </c>
      <c r="I23" s="251"/>
    </row>
    <row r="24" spans="1:9">
      <c r="A24" s="195"/>
      <c r="B24" s="257"/>
      <c r="C24" s="252"/>
      <c r="D24" s="252"/>
      <c r="E24" s="253"/>
      <c r="F24" s="255"/>
      <c r="G24" s="256"/>
      <c r="H24" s="256"/>
      <c r="I24" s="251"/>
    </row>
    <row r="25" spans="1:9">
      <c r="A25" s="195"/>
      <c r="B25" s="257"/>
      <c r="C25" s="252"/>
      <c r="D25" s="252"/>
      <c r="E25" s="253"/>
      <c r="F25" s="255"/>
      <c r="G25" s="256"/>
      <c r="H25" s="256"/>
      <c r="I25" s="251"/>
    </row>
    <row r="26" spans="1:9" ht="31.5">
      <c r="A26" s="252">
        <v>4</v>
      </c>
      <c r="B26" s="258" t="s">
        <v>1201</v>
      </c>
      <c r="C26" s="252"/>
      <c r="D26" s="252"/>
      <c r="E26" s="253"/>
      <c r="F26" s="254"/>
      <c r="G26" s="254"/>
      <c r="H26" s="259"/>
      <c r="I26" s="251"/>
    </row>
    <row r="27" spans="1:9">
      <c r="A27" s="252"/>
      <c r="B27" s="258" t="s">
        <v>1202</v>
      </c>
      <c r="C27" s="252">
        <v>1</v>
      </c>
      <c r="D27" s="252">
        <v>1</v>
      </c>
      <c r="E27" s="253">
        <v>1</v>
      </c>
      <c r="F27" s="254"/>
      <c r="G27" s="254"/>
      <c r="H27" s="253">
        <f>PRODUCT(C27:G27)</f>
        <v>1</v>
      </c>
      <c r="I27" s="251"/>
    </row>
    <row r="28" spans="1:9">
      <c r="A28" s="252"/>
      <c r="B28" s="258"/>
      <c r="C28" s="252"/>
      <c r="D28" s="252"/>
      <c r="E28" s="253"/>
      <c r="F28" s="255" t="s">
        <v>55</v>
      </c>
      <c r="G28" s="256">
        <f>ROUNDUP(H27,1)</f>
        <v>1</v>
      </c>
      <c r="H28" s="256" t="s">
        <v>22</v>
      </c>
      <c r="I28" s="251"/>
    </row>
    <row r="29" spans="1:9" ht="47.25">
      <c r="A29" s="252">
        <v>5</v>
      </c>
      <c r="B29" s="258" t="s">
        <v>1203</v>
      </c>
      <c r="C29" s="252"/>
      <c r="D29" s="252"/>
      <c r="E29" s="253"/>
      <c r="F29" s="254"/>
      <c r="G29" s="254"/>
      <c r="H29" s="259"/>
      <c r="I29" s="251"/>
    </row>
    <row r="30" spans="1:9">
      <c r="A30" s="252"/>
      <c r="B30" s="258" t="s">
        <v>1202</v>
      </c>
      <c r="C30" s="252">
        <v>1</v>
      </c>
      <c r="D30" s="252">
        <v>1</v>
      </c>
      <c r="E30" s="253">
        <v>1</v>
      </c>
      <c r="F30" s="254"/>
      <c r="G30" s="254"/>
      <c r="H30" s="253">
        <f>PRODUCT(C30:G30)</f>
        <v>1</v>
      </c>
      <c r="I30" s="251"/>
    </row>
    <row r="31" spans="1:9">
      <c r="A31" s="252"/>
      <c r="B31" s="258" t="s">
        <v>1204</v>
      </c>
      <c r="C31" s="252">
        <v>1</v>
      </c>
      <c r="D31" s="252">
        <v>2</v>
      </c>
      <c r="E31" s="253">
        <v>1</v>
      </c>
      <c r="F31" s="254"/>
      <c r="G31" s="254"/>
      <c r="H31" s="253">
        <f>PRODUCT(C31:G31)</f>
        <v>2</v>
      </c>
      <c r="I31" s="251"/>
    </row>
    <row r="32" spans="1:9">
      <c r="A32" s="252"/>
      <c r="B32" s="258"/>
      <c r="C32" s="252"/>
      <c r="D32" s="252"/>
      <c r="E32" s="253"/>
      <c r="F32" s="254"/>
      <c r="G32" s="254"/>
      <c r="H32" s="253">
        <f>SUM(H30:H31)</f>
        <v>3</v>
      </c>
      <c r="I32" s="251"/>
    </row>
    <row r="33" spans="1:9">
      <c r="A33" s="252"/>
      <c r="B33" s="258"/>
      <c r="C33" s="252"/>
      <c r="D33" s="252"/>
      <c r="E33" s="253"/>
      <c r="F33" s="255" t="s">
        <v>55</v>
      </c>
      <c r="G33" s="256">
        <f>ROUNDUP(H32,1)</f>
        <v>3</v>
      </c>
      <c r="H33" s="256" t="s">
        <v>22</v>
      </c>
      <c r="I33" s="251"/>
    </row>
    <row r="34" spans="1:9" ht="47.25">
      <c r="A34" s="252">
        <v>6</v>
      </c>
      <c r="B34" s="258" t="s">
        <v>1205</v>
      </c>
      <c r="C34" s="252"/>
      <c r="D34" s="252"/>
      <c r="E34" s="253"/>
      <c r="F34" s="254"/>
      <c r="G34" s="254"/>
      <c r="H34" s="259"/>
      <c r="I34" s="251"/>
    </row>
    <row r="35" spans="1:9">
      <c r="A35" s="252"/>
      <c r="B35" s="258" t="s">
        <v>1202</v>
      </c>
      <c r="C35" s="252">
        <v>1</v>
      </c>
      <c r="D35" s="252">
        <v>1</v>
      </c>
      <c r="E35" s="253">
        <v>1</v>
      </c>
      <c r="F35" s="254"/>
      <c r="G35" s="254"/>
      <c r="H35" s="253">
        <f>PRODUCT(C35:G35)</f>
        <v>1</v>
      </c>
      <c r="I35" s="251"/>
    </row>
    <row r="36" spans="1:9">
      <c r="A36" s="252"/>
      <c r="B36" s="258" t="s">
        <v>1204</v>
      </c>
      <c r="C36" s="252">
        <v>1</v>
      </c>
      <c r="D36" s="252">
        <v>2</v>
      </c>
      <c r="E36" s="253">
        <v>1</v>
      </c>
      <c r="F36" s="254"/>
      <c r="G36" s="254"/>
      <c r="H36" s="253">
        <f>PRODUCT(C36:G36)</f>
        <v>2</v>
      </c>
      <c r="I36" s="251"/>
    </row>
    <row r="37" spans="1:9">
      <c r="A37" s="252"/>
      <c r="B37" s="258"/>
      <c r="C37" s="252"/>
      <c r="D37" s="252"/>
      <c r="E37" s="253"/>
      <c r="F37" s="254"/>
      <c r="G37" s="254"/>
      <c r="H37" s="253">
        <f>SUM(H35:H36)</f>
        <v>3</v>
      </c>
      <c r="I37" s="251"/>
    </row>
    <row r="38" spans="1:9">
      <c r="A38" s="252"/>
      <c r="B38" s="258"/>
      <c r="C38" s="252"/>
      <c r="D38" s="252"/>
      <c r="E38" s="253"/>
      <c r="F38" s="255" t="s">
        <v>55</v>
      </c>
      <c r="G38" s="256">
        <f>ROUNDUP(H37,1)</f>
        <v>3</v>
      </c>
      <c r="H38" s="256" t="s">
        <v>22</v>
      </c>
      <c r="I38" s="251"/>
    </row>
    <row r="39" spans="1:9" ht="31.5">
      <c r="A39" s="252">
        <v>7</v>
      </c>
      <c r="B39" s="258" t="s">
        <v>1206</v>
      </c>
      <c r="C39" s="252"/>
      <c r="D39" s="252"/>
      <c r="E39" s="253"/>
      <c r="F39" s="254"/>
      <c r="G39" s="254"/>
      <c r="H39" s="253"/>
      <c r="I39" s="251"/>
    </row>
    <row r="40" spans="1:9">
      <c r="A40" s="252"/>
      <c r="B40" s="258" t="s">
        <v>995</v>
      </c>
      <c r="C40" s="252">
        <v>1</v>
      </c>
      <c r="D40" s="252">
        <v>1</v>
      </c>
      <c r="E40" s="253">
        <v>240</v>
      </c>
      <c r="F40" s="254" t="s">
        <v>26</v>
      </c>
      <c r="G40" s="254" t="s">
        <v>26</v>
      </c>
      <c r="H40" s="253">
        <f>PRODUCT(C40:G40)</f>
        <v>240</v>
      </c>
      <c r="I40" s="251"/>
    </row>
    <row r="41" spans="1:9">
      <c r="A41" s="252"/>
      <c r="B41" s="258" t="s">
        <v>1207</v>
      </c>
      <c r="C41" s="252">
        <v>1</v>
      </c>
      <c r="D41" s="252">
        <v>2</v>
      </c>
      <c r="E41" s="253">
        <v>22</v>
      </c>
      <c r="F41" s="254"/>
      <c r="G41" s="254"/>
      <c r="H41" s="253">
        <f>PRODUCT(C41:G41)</f>
        <v>44</v>
      </c>
      <c r="I41" s="251"/>
    </row>
    <row r="42" spans="1:9">
      <c r="A42" s="252"/>
      <c r="B42" s="258"/>
      <c r="C42" s="252"/>
      <c r="D42" s="252"/>
      <c r="E42" s="253"/>
      <c r="F42" s="254"/>
      <c r="G42" s="254"/>
      <c r="H42" s="253">
        <f>SUM(H40:H41)</f>
        <v>284</v>
      </c>
      <c r="I42" s="251"/>
    </row>
    <row r="43" spans="1:9">
      <c r="A43" s="252"/>
      <c r="B43" s="258"/>
      <c r="C43" s="252"/>
      <c r="D43" s="252"/>
      <c r="E43" s="253"/>
      <c r="F43" s="255" t="s">
        <v>55</v>
      </c>
      <c r="G43" s="256">
        <f>ROUNDUP(H42,1)</f>
        <v>284</v>
      </c>
      <c r="H43" s="256" t="s">
        <v>46</v>
      </c>
      <c r="I43" s="251"/>
    </row>
    <row r="44" spans="1:9" ht="31.5">
      <c r="A44" s="252">
        <v>8</v>
      </c>
      <c r="B44" s="258" t="s">
        <v>1208</v>
      </c>
      <c r="C44" s="252"/>
      <c r="D44" s="252"/>
      <c r="E44" s="253"/>
      <c r="F44" s="254"/>
      <c r="G44" s="254"/>
      <c r="H44" s="253"/>
      <c r="I44" s="251"/>
    </row>
    <row r="45" spans="1:9">
      <c r="A45" s="252"/>
      <c r="B45" s="258" t="s">
        <v>1209</v>
      </c>
      <c r="C45" s="252">
        <v>1</v>
      </c>
      <c r="D45" s="252">
        <v>1</v>
      </c>
      <c r="E45" s="253">
        <v>240</v>
      </c>
      <c r="F45" s="254" t="s">
        <v>26</v>
      </c>
      <c r="G45" s="254" t="s">
        <v>26</v>
      </c>
      <c r="H45" s="253">
        <f>PRODUCT(C45:G45)</f>
        <v>240</v>
      </c>
      <c r="I45" s="251"/>
    </row>
    <row r="46" spans="1:9">
      <c r="A46" s="252"/>
      <c r="B46" s="258"/>
      <c r="C46" s="252"/>
      <c r="D46" s="252"/>
      <c r="E46" s="253"/>
      <c r="F46" s="255" t="s">
        <v>55</v>
      </c>
      <c r="G46" s="256">
        <f>ROUNDUP(H45,1)</f>
        <v>240</v>
      </c>
      <c r="H46" s="256" t="s">
        <v>46</v>
      </c>
      <c r="I46" s="251"/>
    </row>
    <row r="47" spans="1:9">
      <c r="A47" s="252">
        <v>9</v>
      </c>
      <c r="B47" s="258" t="s">
        <v>1210</v>
      </c>
      <c r="C47" s="252"/>
      <c r="D47" s="252"/>
      <c r="E47" s="253"/>
      <c r="F47" s="255"/>
      <c r="G47" s="256"/>
      <c r="H47" s="256"/>
      <c r="I47" s="251"/>
    </row>
    <row r="48" spans="1:9">
      <c r="A48" s="252"/>
      <c r="B48" s="258" t="s">
        <v>1211</v>
      </c>
      <c r="C48" s="252">
        <v>1</v>
      </c>
      <c r="D48" s="252">
        <v>1</v>
      </c>
      <c r="E48" s="253">
        <v>240</v>
      </c>
      <c r="F48" s="255"/>
      <c r="G48" s="256"/>
      <c r="H48" s="253">
        <f>PRODUCT(C48:G48)</f>
        <v>240</v>
      </c>
      <c r="I48" s="251"/>
    </row>
    <row r="49" spans="1:9">
      <c r="A49" s="252"/>
      <c r="B49" s="258"/>
      <c r="C49" s="252"/>
      <c r="D49" s="252"/>
      <c r="E49" s="253"/>
      <c r="F49" s="255" t="s">
        <v>55</v>
      </c>
      <c r="G49" s="256">
        <f>ROUNDUP(H48,1)</f>
        <v>240</v>
      </c>
      <c r="H49" s="256" t="s">
        <v>46</v>
      </c>
      <c r="I49" s="251"/>
    </row>
    <row r="50" spans="1:9" ht="47.25">
      <c r="A50" s="260">
        <v>10</v>
      </c>
      <c r="B50" s="261" t="s">
        <v>1212</v>
      </c>
      <c r="C50" s="260"/>
      <c r="D50" s="260"/>
      <c r="E50" s="262"/>
      <c r="F50" s="263"/>
      <c r="G50" s="263"/>
      <c r="H50" s="262"/>
      <c r="I50" s="251"/>
    </row>
    <row r="51" spans="1:9">
      <c r="A51" s="260"/>
      <c r="B51" s="264" t="s">
        <v>1213</v>
      </c>
      <c r="C51" s="260"/>
      <c r="D51" s="260"/>
      <c r="E51" s="262"/>
      <c r="F51" s="263"/>
      <c r="G51" s="263"/>
      <c r="H51" s="262"/>
      <c r="I51" s="251"/>
    </row>
    <row r="52" spans="1:9">
      <c r="A52" s="260"/>
      <c r="B52" s="261" t="s">
        <v>1214</v>
      </c>
      <c r="C52" s="260">
        <v>1</v>
      </c>
      <c r="D52" s="260">
        <v>1</v>
      </c>
      <c r="E52" s="262">
        <v>90</v>
      </c>
      <c r="F52" s="263" t="s">
        <v>26</v>
      </c>
      <c r="G52" s="263" t="s">
        <v>26</v>
      </c>
      <c r="H52" s="262">
        <f>PRODUCT(C52:G52)</f>
        <v>90</v>
      </c>
      <c r="I52" s="251"/>
    </row>
    <row r="53" spans="1:9">
      <c r="A53" s="260"/>
      <c r="B53" s="261"/>
      <c r="C53" s="260"/>
      <c r="D53" s="260"/>
      <c r="E53" s="262"/>
      <c r="F53" s="265" t="s">
        <v>55</v>
      </c>
      <c r="G53" s="265">
        <f>H52</f>
        <v>90</v>
      </c>
      <c r="H53" s="265" t="s">
        <v>46</v>
      </c>
      <c r="I53" s="251"/>
    </row>
    <row r="54" spans="1:9" ht="57.75">
      <c r="A54" s="195">
        <v>11</v>
      </c>
      <c r="B54" s="197" t="s">
        <v>1215</v>
      </c>
      <c r="C54" s="191"/>
      <c r="D54" s="191"/>
      <c r="E54" s="191"/>
      <c r="F54" s="191"/>
      <c r="G54" s="191"/>
      <c r="H54" s="191"/>
      <c r="I54" s="251"/>
    </row>
    <row r="55" spans="1:9" ht="29.25">
      <c r="A55" s="195"/>
      <c r="B55" s="194" t="s">
        <v>1216</v>
      </c>
      <c r="C55" s="191"/>
      <c r="D55" s="191"/>
      <c r="E55" s="191"/>
      <c r="F55" s="191"/>
      <c r="G55" s="191"/>
      <c r="H55" s="191"/>
      <c r="I55" s="251"/>
    </row>
    <row r="56" spans="1:9">
      <c r="A56" s="195"/>
      <c r="B56" s="191" t="s">
        <v>1300</v>
      </c>
      <c r="C56" s="191">
        <v>1</v>
      </c>
      <c r="D56" s="191">
        <v>1</v>
      </c>
      <c r="E56" s="266">
        <v>1</v>
      </c>
      <c r="F56" s="196" t="s">
        <v>26</v>
      </c>
      <c r="G56" s="196" t="s">
        <v>26</v>
      </c>
      <c r="H56" s="266">
        <f>PRODUCT(C56:G56)</f>
        <v>1</v>
      </c>
      <c r="I56" s="251"/>
    </row>
    <row r="57" spans="1:9">
      <c r="A57" s="195"/>
      <c r="B57" s="191" t="s">
        <v>1217</v>
      </c>
      <c r="C57" s="191">
        <v>1</v>
      </c>
      <c r="D57" s="191">
        <v>1</v>
      </c>
      <c r="E57" s="266">
        <v>1</v>
      </c>
      <c r="F57" s="196"/>
      <c r="G57" s="196"/>
      <c r="H57" s="266">
        <f>PRODUCT(C57:G57)</f>
        <v>1</v>
      </c>
      <c r="I57" s="267"/>
    </row>
    <row r="58" spans="1:9">
      <c r="A58" s="195"/>
      <c r="B58" s="191"/>
      <c r="C58" s="191"/>
      <c r="D58" s="191"/>
      <c r="E58" s="266"/>
      <c r="F58" s="196"/>
      <c r="G58" s="196"/>
      <c r="H58" s="266">
        <f>SUM(H56:H57)</f>
        <v>2</v>
      </c>
      <c r="I58" s="267" t="s">
        <v>23</v>
      </c>
    </row>
    <row r="59" spans="1:9">
      <c r="A59" s="195"/>
      <c r="B59" s="191"/>
      <c r="C59" s="191"/>
      <c r="D59" s="191"/>
      <c r="E59" s="266"/>
      <c r="F59" s="196"/>
      <c r="G59" s="196"/>
      <c r="H59" s="266"/>
      <c r="I59" s="251"/>
    </row>
    <row r="60" spans="1:9" ht="29.25">
      <c r="A60" s="195">
        <v>12</v>
      </c>
      <c r="B60" s="197" t="s">
        <v>1218</v>
      </c>
      <c r="C60" s="191"/>
      <c r="D60" s="191"/>
      <c r="E60" s="266"/>
      <c r="F60" s="196"/>
      <c r="G60" s="196"/>
      <c r="H60" s="266"/>
      <c r="I60" s="251"/>
    </row>
    <row r="61" spans="1:9">
      <c r="A61" s="195"/>
      <c r="B61" s="268" t="s">
        <v>1219</v>
      </c>
      <c r="C61" s="191"/>
      <c r="D61" s="191"/>
      <c r="E61" s="266"/>
      <c r="F61" s="196"/>
      <c r="G61" s="196"/>
      <c r="H61" s="266"/>
      <c r="I61" s="251"/>
    </row>
    <row r="62" spans="1:9">
      <c r="A62" s="195"/>
      <c r="B62" s="268" t="s">
        <v>1220</v>
      </c>
      <c r="C62" s="191"/>
      <c r="D62" s="191"/>
      <c r="E62" s="266"/>
      <c r="F62" s="196"/>
      <c r="G62" s="196"/>
      <c r="H62" s="266"/>
      <c r="I62" s="251"/>
    </row>
    <row r="63" spans="1:9">
      <c r="A63" s="195"/>
      <c r="B63" s="197" t="s">
        <v>1221</v>
      </c>
      <c r="C63" s="191">
        <v>1</v>
      </c>
      <c r="D63" s="191">
        <v>1</v>
      </c>
      <c r="E63" s="266">
        <v>12</v>
      </c>
      <c r="F63" s="196" t="s">
        <v>26</v>
      </c>
      <c r="G63" s="196" t="s">
        <v>26</v>
      </c>
      <c r="H63" s="266">
        <f>PRODUCT(C63:G63)</f>
        <v>12</v>
      </c>
      <c r="I63" s="251"/>
    </row>
    <row r="64" spans="1:9">
      <c r="A64" s="195"/>
      <c r="B64" s="197"/>
      <c r="C64" s="191"/>
      <c r="D64" s="191"/>
      <c r="E64" s="266"/>
      <c r="F64" s="196"/>
      <c r="G64" s="196"/>
      <c r="H64" s="266"/>
      <c r="I64" s="251"/>
    </row>
    <row r="65" spans="1:9">
      <c r="A65" s="195"/>
      <c r="B65" s="268" t="s">
        <v>1222</v>
      </c>
      <c r="C65" s="191"/>
      <c r="D65" s="191"/>
      <c r="E65" s="266"/>
      <c r="F65" s="196"/>
      <c r="G65" s="196"/>
      <c r="H65" s="266"/>
      <c r="I65" s="251"/>
    </row>
    <row r="66" spans="1:9">
      <c r="A66" s="195"/>
      <c r="B66" s="191" t="s">
        <v>1254</v>
      </c>
      <c r="C66" s="191">
        <v>1</v>
      </c>
      <c r="D66" s="191">
        <v>1</v>
      </c>
      <c r="E66" s="266">
        <v>150</v>
      </c>
      <c r="F66" s="196" t="s">
        <v>26</v>
      </c>
      <c r="G66" s="196" t="s">
        <v>26</v>
      </c>
      <c r="H66" s="266">
        <f>PRODUCT(C66:G66)</f>
        <v>150</v>
      </c>
      <c r="I66" s="251"/>
    </row>
    <row r="67" spans="1:9">
      <c r="A67" s="195"/>
      <c r="B67" s="197"/>
      <c r="C67" s="191"/>
      <c r="D67" s="191"/>
      <c r="E67" s="266"/>
      <c r="F67" s="196"/>
      <c r="G67" s="196"/>
      <c r="H67" s="266">
        <f>SUM(H66:H66)</f>
        <v>150</v>
      </c>
      <c r="I67" s="251"/>
    </row>
    <row r="68" spans="1:9">
      <c r="A68" s="195"/>
      <c r="B68" s="268" t="s">
        <v>1223</v>
      </c>
      <c r="C68" s="191"/>
      <c r="D68" s="191"/>
      <c r="E68" s="266"/>
      <c r="F68" s="196"/>
      <c r="G68" s="196"/>
      <c r="H68" s="266"/>
      <c r="I68" s="251"/>
    </row>
    <row r="69" spans="1:9">
      <c r="A69" s="195"/>
      <c r="B69" s="191" t="s">
        <v>1254</v>
      </c>
      <c r="C69" s="191">
        <v>1</v>
      </c>
      <c r="D69" s="191">
        <v>1</v>
      </c>
      <c r="E69" s="266">
        <v>60</v>
      </c>
      <c r="F69" s="196" t="s">
        <v>26</v>
      </c>
      <c r="G69" s="196" t="s">
        <v>26</v>
      </c>
      <c r="H69" s="266">
        <f>PRODUCT(C69:G69)</f>
        <v>60</v>
      </c>
      <c r="I69" s="251"/>
    </row>
    <row r="70" spans="1:9">
      <c r="A70" s="195"/>
      <c r="B70" s="197"/>
      <c r="C70" s="191"/>
      <c r="D70" s="191"/>
      <c r="E70" s="266"/>
      <c r="F70" s="196"/>
      <c r="G70" s="196"/>
      <c r="H70" s="266">
        <f>SUM(H69:H69)</f>
        <v>60</v>
      </c>
      <c r="I70" s="267" t="s">
        <v>47</v>
      </c>
    </row>
    <row r="71" spans="1:9">
      <c r="A71" s="195"/>
      <c r="B71" s="268" t="s">
        <v>1224</v>
      </c>
      <c r="C71" s="191"/>
      <c r="D71" s="191"/>
      <c r="E71" s="266"/>
      <c r="F71" s="196"/>
      <c r="G71" s="196"/>
      <c r="H71" s="266"/>
      <c r="I71" s="267"/>
    </row>
    <row r="72" spans="1:9">
      <c r="A72" s="195"/>
      <c r="B72" s="197" t="s">
        <v>1225</v>
      </c>
      <c r="C72" s="191">
        <v>1</v>
      </c>
      <c r="D72" s="191">
        <v>1</v>
      </c>
      <c r="E72" s="266">
        <v>90</v>
      </c>
      <c r="F72" s="196"/>
      <c r="G72" s="196"/>
      <c r="H72" s="266">
        <f>PRODUCT(C72:G72)</f>
        <v>90</v>
      </c>
      <c r="I72" s="267"/>
    </row>
    <row r="73" spans="1:9">
      <c r="A73" s="195"/>
      <c r="B73" s="197"/>
      <c r="C73" s="191"/>
      <c r="D73" s="191"/>
      <c r="E73" s="266"/>
      <c r="F73" s="196"/>
      <c r="G73" s="196"/>
      <c r="H73" s="266">
        <f>SUM(H72:H72)</f>
        <v>90</v>
      </c>
      <c r="I73" s="267" t="s">
        <v>47</v>
      </c>
    </row>
    <row r="74" spans="1:9">
      <c r="A74" s="195"/>
      <c r="B74" s="197"/>
      <c r="C74" s="191"/>
      <c r="D74" s="191"/>
      <c r="E74" s="266"/>
      <c r="F74" s="196"/>
      <c r="G74" s="198"/>
      <c r="H74" s="269"/>
      <c r="I74" s="251"/>
    </row>
    <row r="75" spans="1:9" ht="43.5">
      <c r="A75" s="195">
        <v>13</v>
      </c>
      <c r="B75" s="197" t="s">
        <v>1212</v>
      </c>
      <c r="C75" s="191"/>
      <c r="D75" s="191"/>
      <c r="E75" s="266"/>
      <c r="F75" s="196"/>
      <c r="G75" s="196"/>
      <c r="H75" s="266"/>
      <c r="I75" s="251"/>
    </row>
    <row r="76" spans="1:9">
      <c r="A76" s="195"/>
      <c r="B76" s="268" t="s">
        <v>1226</v>
      </c>
      <c r="C76" s="191"/>
      <c r="D76" s="191"/>
      <c r="E76" s="266"/>
      <c r="F76" s="196"/>
      <c r="G76" s="196"/>
      <c r="H76" s="266"/>
      <c r="I76" s="251"/>
    </row>
    <row r="77" spans="1:9">
      <c r="A77" s="195"/>
      <c r="B77" s="197" t="s">
        <v>1227</v>
      </c>
      <c r="C77" s="191">
        <v>1</v>
      </c>
      <c r="D77" s="191">
        <v>1</v>
      </c>
      <c r="E77" s="266">
        <v>2.5</v>
      </c>
      <c r="F77" s="196" t="s">
        <v>26</v>
      </c>
      <c r="G77" s="196" t="s">
        <v>26</v>
      </c>
      <c r="H77" s="266">
        <f>PRODUCT(C77:G77)</f>
        <v>2.5</v>
      </c>
      <c r="I77" s="251"/>
    </row>
    <row r="78" spans="1:9">
      <c r="A78" s="195"/>
      <c r="B78" s="197"/>
      <c r="C78" s="191"/>
      <c r="D78" s="191"/>
      <c r="E78" s="266"/>
      <c r="F78" s="196"/>
      <c r="G78" s="196"/>
      <c r="H78" s="269">
        <f>SUM(H77:H77)</f>
        <v>2.5</v>
      </c>
      <c r="I78" s="267" t="s">
        <v>47</v>
      </c>
    </row>
    <row r="79" spans="1:9">
      <c r="A79" s="195"/>
      <c r="B79" s="268" t="s">
        <v>1228</v>
      </c>
      <c r="C79" s="191"/>
      <c r="D79" s="191"/>
      <c r="E79" s="266"/>
      <c r="F79" s="196"/>
      <c r="G79" s="196"/>
      <c r="H79" s="266"/>
      <c r="I79" s="251"/>
    </row>
    <row r="80" spans="1:9">
      <c r="A80" s="195"/>
      <c r="B80" s="197" t="s">
        <v>1229</v>
      </c>
      <c r="C80" s="191">
        <v>2</v>
      </c>
      <c r="D80" s="191">
        <v>1</v>
      </c>
      <c r="E80" s="266">
        <v>3</v>
      </c>
      <c r="F80" s="196" t="s">
        <v>26</v>
      </c>
      <c r="G80" s="196" t="s">
        <v>26</v>
      </c>
      <c r="H80" s="266">
        <f>PRODUCT(C80:G80)</f>
        <v>6</v>
      </c>
      <c r="I80" s="251"/>
    </row>
    <row r="81" spans="1:9">
      <c r="A81" s="195"/>
      <c r="B81" s="197" t="s">
        <v>1230</v>
      </c>
      <c r="C81" s="191">
        <v>2</v>
      </c>
      <c r="D81" s="191">
        <v>5</v>
      </c>
      <c r="E81" s="266">
        <v>1.5</v>
      </c>
      <c r="F81" s="196" t="s">
        <v>26</v>
      </c>
      <c r="G81" s="196" t="s">
        <v>26</v>
      </c>
      <c r="H81" s="266">
        <f>PRODUCT(C81:G81)</f>
        <v>15</v>
      </c>
      <c r="I81" s="251"/>
    </row>
    <row r="82" spans="1:9">
      <c r="A82" s="195"/>
      <c r="B82" s="197"/>
      <c r="C82" s="191"/>
      <c r="D82" s="191"/>
      <c r="E82" s="266"/>
      <c r="F82" s="196"/>
      <c r="G82" s="196"/>
      <c r="H82" s="269">
        <f>SUM(H80:H81)</f>
        <v>21</v>
      </c>
      <c r="I82" s="267" t="s">
        <v>47</v>
      </c>
    </row>
    <row r="83" spans="1:9">
      <c r="A83" s="195"/>
      <c r="B83" s="197"/>
      <c r="C83" s="191"/>
      <c r="D83" s="191"/>
      <c r="E83" s="266"/>
      <c r="F83" s="196"/>
      <c r="G83" s="198"/>
      <c r="H83" s="269"/>
      <c r="I83" s="251"/>
    </row>
    <row r="84" spans="1:9" ht="29.25">
      <c r="A84" s="193">
        <v>14</v>
      </c>
      <c r="B84" s="194" t="s">
        <v>1231</v>
      </c>
      <c r="C84" s="191"/>
      <c r="D84" s="191"/>
      <c r="E84" s="266"/>
      <c r="F84" s="196"/>
      <c r="G84" s="196"/>
      <c r="H84" s="266"/>
      <c r="I84" s="251"/>
    </row>
    <row r="85" spans="1:9">
      <c r="A85" s="193" t="s">
        <v>1232</v>
      </c>
      <c r="B85" s="194" t="s">
        <v>1233</v>
      </c>
      <c r="C85" s="191"/>
      <c r="D85" s="191"/>
      <c r="E85" s="266"/>
      <c r="F85" s="196"/>
      <c r="G85" s="196"/>
      <c r="H85" s="266"/>
      <c r="I85" s="251"/>
    </row>
    <row r="86" spans="1:9">
      <c r="A86" s="195"/>
      <c r="B86" s="197" t="s">
        <v>1234</v>
      </c>
      <c r="C86" s="191"/>
      <c r="D86" s="191"/>
      <c r="E86" s="266"/>
      <c r="F86" s="196"/>
      <c r="G86" s="196"/>
      <c r="H86" s="266"/>
      <c r="I86" s="251"/>
    </row>
    <row r="87" spans="1:9">
      <c r="A87" s="195"/>
      <c r="B87" s="197" t="s">
        <v>1235</v>
      </c>
      <c r="C87" s="191">
        <v>3</v>
      </c>
      <c r="D87" s="191">
        <v>1</v>
      </c>
      <c r="E87" s="266">
        <v>3</v>
      </c>
      <c r="F87" s="196" t="s">
        <v>26</v>
      </c>
      <c r="G87" s="196" t="s">
        <v>26</v>
      </c>
      <c r="H87" s="266">
        <f>PRODUCT(C87:G87)</f>
        <v>9</v>
      </c>
      <c r="I87" s="251"/>
    </row>
    <row r="88" spans="1:9">
      <c r="A88" s="195"/>
      <c r="B88" s="197" t="s">
        <v>1236</v>
      </c>
      <c r="C88" s="191">
        <v>5</v>
      </c>
      <c r="D88" s="191">
        <v>1</v>
      </c>
      <c r="E88" s="266">
        <v>1</v>
      </c>
      <c r="F88" s="196" t="s">
        <v>26</v>
      </c>
      <c r="G88" s="196" t="s">
        <v>26</v>
      </c>
      <c r="H88" s="266">
        <f>PRODUCT(C88:G88)</f>
        <v>5</v>
      </c>
      <c r="I88" s="251"/>
    </row>
    <row r="89" spans="1:9">
      <c r="A89" s="195"/>
      <c r="B89" s="197" t="s">
        <v>1237</v>
      </c>
      <c r="C89" s="191">
        <v>5</v>
      </c>
      <c r="D89" s="191">
        <v>1</v>
      </c>
      <c r="E89" s="266">
        <v>3</v>
      </c>
      <c r="F89" s="196" t="s">
        <v>26</v>
      </c>
      <c r="G89" s="196" t="s">
        <v>26</v>
      </c>
      <c r="H89" s="266">
        <f>PRODUCT(C89:G89)</f>
        <v>15</v>
      </c>
      <c r="I89" s="251"/>
    </row>
    <row r="90" spans="1:9">
      <c r="A90" s="195"/>
      <c r="B90" s="197"/>
      <c r="C90" s="191"/>
      <c r="D90" s="191"/>
      <c r="E90" s="266"/>
      <c r="F90" s="196"/>
      <c r="G90" s="196"/>
      <c r="H90" s="269">
        <f>SUM(H87:H89)</f>
        <v>29</v>
      </c>
      <c r="I90" s="267" t="s">
        <v>23</v>
      </c>
    </row>
    <row r="91" spans="1:9">
      <c r="A91" s="195"/>
      <c r="B91" s="197"/>
      <c r="C91" s="191"/>
      <c r="D91" s="191"/>
      <c r="E91" s="266"/>
      <c r="F91" s="196"/>
      <c r="G91" s="196"/>
      <c r="H91" s="266"/>
      <c r="I91" s="251"/>
    </row>
    <row r="92" spans="1:9">
      <c r="A92" s="195" t="s">
        <v>1238</v>
      </c>
      <c r="B92" s="197" t="s">
        <v>1239</v>
      </c>
      <c r="C92" s="191"/>
      <c r="D92" s="191"/>
      <c r="E92" s="266"/>
      <c r="F92" s="196"/>
      <c r="G92" s="196"/>
      <c r="H92" s="266"/>
      <c r="I92" s="251"/>
    </row>
    <row r="93" spans="1:9">
      <c r="A93" s="195"/>
      <c r="B93" s="197" t="s">
        <v>1240</v>
      </c>
      <c r="C93" s="191">
        <v>10</v>
      </c>
      <c r="D93" s="191">
        <v>1</v>
      </c>
      <c r="E93" s="266">
        <v>1</v>
      </c>
      <c r="F93" s="196" t="s">
        <v>26</v>
      </c>
      <c r="G93" s="196" t="s">
        <v>26</v>
      </c>
      <c r="H93" s="269">
        <f>PRODUCT(C93:G93)</f>
        <v>10</v>
      </c>
      <c r="I93" s="267" t="s">
        <v>23</v>
      </c>
    </row>
    <row r="94" spans="1:9">
      <c r="A94" s="195"/>
      <c r="B94" s="197"/>
      <c r="C94" s="191"/>
      <c r="D94" s="191"/>
      <c r="E94" s="266"/>
      <c r="F94" s="196"/>
      <c r="G94" s="196"/>
      <c r="H94" s="266"/>
      <c r="I94" s="251"/>
    </row>
    <row r="95" spans="1:9">
      <c r="A95" s="195" t="s">
        <v>1241</v>
      </c>
      <c r="B95" s="197" t="s">
        <v>1242</v>
      </c>
      <c r="C95" s="191"/>
      <c r="D95" s="191"/>
      <c r="E95" s="266"/>
      <c r="F95" s="196"/>
      <c r="G95" s="196"/>
      <c r="H95" s="266"/>
      <c r="I95" s="251"/>
    </row>
    <row r="96" spans="1:9">
      <c r="A96" s="195"/>
      <c r="B96" s="197" t="s">
        <v>1240</v>
      </c>
      <c r="C96" s="191">
        <v>10</v>
      </c>
      <c r="D96" s="191">
        <v>1</v>
      </c>
      <c r="E96" s="266">
        <v>2</v>
      </c>
      <c r="F96" s="196" t="s">
        <v>26</v>
      </c>
      <c r="G96" s="196" t="s">
        <v>26</v>
      </c>
      <c r="H96" s="269">
        <f>PRODUCT(C96:G96)</f>
        <v>20</v>
      </c>
      <c r="I96" s="267" t="s">
        <v>23</v>
      </c>
    </row>
    <row r="97" spans="1:9">
      <c r="A97" s="195"/>
      <c r="B97" s="197"/>
      <c r="C97" s="191"/>
      <c r="D97" s="191"/>
      <c r="E97" s="266"/>
      <c r="F97" s="196"/>
      <c r="G97" s="196"/>
      <c r="H97" s="266"/>
      <c r="I97" s="251"/>
    </row>
    <row r="98" spans="1:9">
      <c r="A98" s="195" t="s">
        <v>1243</v>
      </c>
      <c r="B98" s="197" t="s">
        <v>1244</v>
      </c>
      <c r="C98" s="191"/>
      <c r="D98" s="191"/>
      <c r="E98" s="266"/>
      <c r="F98" s="196"/>
      <c r="G98" s="196"/>
      <c r="H98" s="266"/>
      <c r="I98" s="251"/>
    </row>
    <row r="99" spans="1:9">
      <c r="A99" s="195"/>
      <c r="B99" s="197" t="s">
        <v>1245</v>
      </c>
      <c r="C99" s="191">
        <v>2</v>
      </c>
      <c r="D99" s="191">
        <v>1</v>
      </c>
      <c r="E99" s="266">
        <v>2</v>
      </c>
      <c r="F99" s="196" t="s">
        <v>26</v>
      </c>
      <c r="G99" s="196" t="s">
        <v>26</v>
      </c>
      <c r="H99" s="269">
        <f>PRODUCT(C99:G99)</f>
        <v>4</v>
      </c>
      <c r="I99" s="267" t="s">
        <v>23</v>
      </c>
    </row>
    <row r="100" spans="1:9">
      <c r="A100" s="195"/>
      <c r="B100" s="197"/>
      <c r="C100" s="191"/>
      <c r="D100" s="191"/>
      <c r="E100" s="266"/>
      <c r="F100" s="196"/>
      <c r="G100" s="196"/>
      <c r="H100" s="266"/>
      <c r="I100" s="251"/>
    </row>
    <row r="101" spans="1:9">
      <c r="A101" s="195" t="s">
        <v>1246</v>
      </c>
      <c r="B101" s="197" t="s">
        <v>1247</v>
      </c>
      <c r="C101" s="191"/>
      <c r="D101" s="191"/>
      <c r="E101" s="266"/>
      <c r="F101" s="196"/>
      <c r="G101" s="196"/>
      <c r="H101" s="266"/>
      <c r="I101" s="251"/>
    </row>
    <row r="102" spans="1:9">
      <c r="A102" s="195"/>
      <c r="B102" s="197" t="s">
        <v>1248</v>
      </c>
      <c r="C102" s="191">
        <v>25</v>
      </c>
      <c r="D102" s="191">
        <v>1</v>
      </c>
      <c r="E102" s="266">
        <v>2</v>
      </c>
      <c r="F102" s="196" t="s">
        <v>26</v>
      </c>
      <c r="G102" s="196" t="s">
        <v>26</v>
      </c>
      <c r="H102" s="266">
        <f>PRODUCT(C102:G102)</f>
        <v>50</v>
      </c>
      <c r="I102" s="270" t="s">
        <v>23</v>
      </c>
    </row>
    <row r="103" spans="1:9">
      <c r="A103" s="195"/>
      <c r="B103" s="197"/>
      <c r="C103" s="191"/>
      <c r="D103" s="191"/>
      <c r="E103" s="266"/>
      <c r="F103" s="196"/>
      <c r="G103" s="196"/>
      <c r="H103" s="269">
        <f>SUM(H102:H102)</f>
        <v>50</v>
      </c>
      <c r="I103" s="267" t="s">
        <v>23</v>
      </c>
    </row>
    <row r="104" spans="1:9">
      <c r="A104" s="195"/>
      <c r="B104" s="197"/>
      <c r="C104" s="191"/>
      <c r="D104" s="191"/>
      <c r="E104" s="266"/>
      <c r="F104" s="196"/>
      <c r="G104" s="196"/>
      <c r="H104" s="266"/>
      <c r="I104" s="251"/>
    </row>
    <row r="105" spans="1:9" ht="29.25">
      <c r="A105" s="195">
        <v>15</v>
      </c>
      <c r="B105" s="197" t="s">
        <v>1249</v>
      </c>
      <c r="C105" s="191"/>
      <c r="D105" s="191"/>
      <c r="E105" s="266"/>
      <c r="F105" s="196"/>
      <c r="G105" s="196"/>
      <c r="H105" s="266"/>
      <c r="I105" s="251"/>
    </row>
    <row r="106" spans="1:9">
      <c r="A106" s="195"/>
      <c r="B106" s="197" t="s">
        <v>1250</v>
      </c>
      <c r="C106" s="191">
        <v>1</v>
      </c>
      <c r="D106" s="191">
        <v>1</v>
      </c>
      <c r="E106" s="271">
        <f>H82</f>
        <v>21</v>
      </c>
      <c r="F106" s="196" t="s">
        <v>26</v>
      </c>
      <c r="G106" s="196" t="s">
        <v>26</v>
      </c>
      <c r="H106" s="266">
        <f>PRODUCT(C106:G106)</f>
        <v>21</v>
      </c>
      <c r="I106" s="267" t="s">
        <v>12</v>
      </c>
    </row>
    <row r="107" spans="1:9">
      <c r="A107" s="195"/>
      <c r="B107" s="197"/>
      <c r="C107" s="191"/>
      <c r="D107" s="191"/>
      <c r="E107" s="266"/>
      <c r="F107" s="196"/>
      <c r="G107" s="196"/>
      <c r="H107" s="266"/>
      <c r="I107" s="251"/>
    </row>
    <row r="108" spans="1:9" ht="29.25">
      <c r="A108" s="195">
        <v>16</v>
      </c>
      <c r="B108" s="197" t="s">
        <v>1251</v>
      </c>
      <c r="C108" s="191"/>
      <c r="D108" s="191"/>
      <c r="E108" s="266"/>
      <c r="F108" s="196"/>
      <c r="G108" s="196"/>
      <c r="H108" s="266"/>
      <c r="I108" s="251"/>
    </row>
    <row r="109" spans="1:9">
      <c r="A109" s="195"/>
      <c r="B109" s="197"/>
      <c r="C109" s="191">
        <v>1</v>
      </c>
      <c r="D109" s="191">
        <v>1</v>
      </c>
      <c r="E109" s="266">
        <f>+H70+H67+H63</f>
        <v>222</v>
      </c>
      <c r="F109" s="196" t="s">
        <v>26</v>
      </c>
      <c r="G109" s="196" t="s">
        <v>26</v>
      </c>
      <c r="H109" s="266">
        <f>PRODUCT(C109:G109)</f>
        <v>222</v>
      </c>
      <c r="I109" s="251"/>
    </row>
    <row r="110" spans="1:9">
      <c r="A110" s="195"/>
      <c r="B110" s="197"/>
      <c r="C110" s="191"/>
      <c r="D110" s="191"/>
      <c r="E110" s="266"/>
      <c r="F110" s="196"/>
      <c r="G110" s="196"/>
      <c r="H110" s="269">
        <f>SUM(H109:H109)</f>
        <v>222</v>
      </c>
      <c r="I110" s="267" t="s">
        <v>47</v>
      </c>
    </row>
    <row r="111" spans="1:9">
      <c r="A111" s="191"/>
      <c r="B111" s="191"/>
      <c r="C111" s="191"/>
      <c r="D111" s="191"/>
      <c r="E111" s="191"/>
      <c r="F111" s="191"/>
      <c r="G111" s="191"/>
      <c r="H111" s="191"/>
      <c r="I111" s="251"/>
    </row>
    <row r="112" spans="1:9">
      <c r="A112" s="191"/>
      <c r="B112" s="272"/>
      <c r="C112" s="191"/>
      <c r="D112" s="191"/>
      <c r="E112" s="191"/>
      <c r="F112" s="191"/>
      <c r="G112" s="191"/>
      <c r="H112" s="191"/>
      <c r="I112" s="251"/>
    </row>
    <row r="113" spans="1:9">
      <c r="A113" s="191"/>
      <c r="B113" s="272"/>
      <c r="C113" s="191"/>
      <c r="D113" s="191"/>
      <c r="E113" s="191"/>
      <c r="F113" s="191"/>
      <c r="G113" s="191"/>
      <c r="H113" s="191"/>
      <c r="I113" s="251"/>
    </row>
    <row r="114" spans="1:9">
      <c r="A114" s="191"/>
      <c r="B114" s="272"/>
      <c r="C114" s="191"/>
      <c r="D114" s="191"/>
      <c r="E114" s="191"/>
      <c r="F114" s="191"/>
      <c r="G114" s="191"/>
      <c r="H114" s="191"/>
      <c r="I114" s="251"/>
    </row>
    <row r="115" spans="1:9">
      <c r="A115" s="191"/>
      <c r="B115" s="191"/>
      <c r="C115" s="191"/>
      <c r="D115" s="191"/>
      <c r="E115" s="191"/>
      <c r="F115" s="191"/>
      <c r="G115" s="191"/>
      <c r="H115" s="191"/>
      <c r="I115" s="251"/>
    </row>
    <row r="116" spans="1:9">
      <c r="A116" s="191"/>
      <c r="B116" s="191"/>
      <c r="C116" s="191"/>
      <c r="D116" s="191"/>
      <c r="E116" s="191"/>
      <c r="F116" s="191"/>
      <c r="G116" s="191"/>
      <c r="H116" s="191"/>
      <c r="I116" s="251"/>
    </row>
    <row r="117" spans="1:9">
      <c r="A117" s="191"/>
      <c r="B117" s="191"/>
      <c r="C117" s="191"/>
      <c r="D117" s="191"/>
      <c r="E117" s="191"/>
      <c r="F117" s="191"/>
      <c r="G117" s="191"/>
      <c r="H117" s="191"/>
      <c r="I117" s="251"/>
    </row>
  </sheetData>
  <mergeCells count="7">
    <mergeCell ref="A1:I1"/>
    <mergeCell ref="A2:I2"/>
    <mergeCell ref="A3:A4"/>
    <mergeCell ref="B3:B4"/>
    <mergeCell ref="C3:D4"/>
    <mergeCell ref="E3:G3"/>
    <mergeCell ref="H3:I4"/>
  </mergeCells>
  <pageMargins left="0.7" right="0.7" top="0.75" bottom="0.75" header="0.3" footer="0.3"/>
  <pageSetup paperSize="9" scale="9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100 PC HC Detailed </vt:lpstr>
      <vt:lpstr>SUMP DESIGN </vt:lpstr>
      <vt:lpstr>SUMP</vt:lpstr>
      <vt:lpstr>CCR</vt:lpstr>
      <vt:lpstr>Genset</vt:lpstr>
      <vt:lpstr>LIFT</vt:lpstr>
      <vt:lpstr>Lighting arrestor</vt:lpstr>
      <vt:lpstr>Bore well </vt:lpstr>
      <vt:lpstr>'100 PC HC Detailed '!Print_Area</vt:lpstr>
      <vt:lpstr>LIFT!Print_Area</vt:lpstr>
      <vt:lpstr>'100 PC HC Detailed '!Print_Titles</vt:lpstr>
      <vt:lpstr>LIFT!Print_Titles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y6hgb</dc:creator>
  <cp:lastModifiedBy>LENOVO</cp:lastModifiedBy>
  <cp:lastPrinted>2023-09-22T21:27:41Z</cp:lastPrinted>
  <dcterms:created xsi:type="dcterms:W3CDTF">2003-09-02T05:17:23Z</dcterms:created>
  <dcterms:modified xsi:type="dcterms:W3CDTF">2023-09-24T06:45:15Z</dcterms:modified>
</cp:coreProperties>
</file>