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HARE\Fire &amp; Prison 2021\Fire\Fire ( announcement) Rough cost 27.10.2021\"/>
    </mc:Choice>
  </mc:AlternateContent>
  <xr:revisionPtr revIDLastSave="0" documentId="13_ncr:1_{1D082762-9A96-4F65-8732-78CB09331182}" xr6:coauthVersionLast="36" xr6:coauthVersionMax="36" xr10:uidLastSave="{00000000-0000-0000-0000-000000000000}"/>
  <bookViews>
    <workbookView xWindow="480" yWindow="348" windowWidth="19812" windowHeight="7668" xr2:uid="{00000000-000D-0000-FFFF-FFFF00000000}"/>
  </bookViews>
  <sheets>
    <sheet name="Detailed" sheetId="3" r:id="rId1"/>
    <sheet name="Redhills" sheetId="2" r:id="rId2"/>
  </sheets>
  <definedNames>
    <definedName name="_xlnm.Print_Area" localSheetId="0">Detailed!$A$1:$I$74</definedName>
    <definedName name="_xlnm.Print_Area" localSheetId="1">Redhills!$A$1:$I$74</definedName>
  </definedNames>
  <calcPr calcId="191029"/>
</workbook>
</file>

<file path=xl/calcChain.xml><?xml version="1.0" encoding="utf-8"?>
<calcChain xmlns="http://schemas.openxmlformats.org/spreadsheetml/2006/main">
  <c r="I63" i="3" l="1"/>
  <c r="I62" i="3"/>
  <c r="I64" i="3"/>
  <c r="I121" i="3"/>
  <c r="I120" i="3"/>
  <c r="N112" i="3"/>
  <c r="N111" i="3"/>
  <c r="N110" i="3"/>
  <c r="N109" i="3"/>
  <c r="N108" i="3"/>
  <c r="N107" i="3"/>
  <c r="N106" i="3"/>
  <c r="N105" i="3"/>
  <c r="N104" i="3"/>
  <c r="K104" i="3"/>
  <c r="N103" i="3"/>
  <c r="K103" i="3"/>
  <c r="N102" i="3"/>
  <c r="K102" i="3"/>
  <c r="N101" i="3"/>
  <c r="K101" i="3"/>
  <c r="N100" i="3"/>
  <c r="K100" i="3"/>
  <c r="N99" i="3"/>
  <c r="L99" i="3"/>
  <c r="K99" i="3"/>
  <c r="N98" i="3"/>
  <c r="L98" i="3"/>
  <c r="K98" i="3"/>
  <c r="N97" i="3"/>
  <c r="L97" i="3"/>
  <c r="K97" i="3"/>
  <c r="Q96" i="3"/>
  <c r="L96" i="3"/>
  <c r="K96" i="3"/>
  <c r="M95" i="3"/>
  <c r="N95" i="3" s="1"/>
  <c r="L95" i="3"/>
  <c r="K95" i="3"/>
  <c r="H75" i="3"/>
  <c r="F75" i="3"/>
  <c r="K60" i="3"/>
  <c r="K61" i="3" s="1"/>
  <c r="K64" i="3" s="1"/>
  <c r="U59" i="3"/>
  <c r="I56" i="3"/>
  <c r="L49" i="3"/>
  <c r="L48" i="3"/>
  <c r="I39" i="3"/>
  <c r="K38" i="3"/>
  <c r="I38" i="3"/>
  <c r="K37" i="3"/>
  <c r="K39" i="3" s="1"/>
  <c r="I37" i="3"/>
  <c r="J36" i="3"/>
  <c r="I36" i="3"/>
  <c r="J34" i="3"/>
  <c r="J35" i="3" s="1"/>
  <c r="M33" i="3"/>
  <c r="F28" i="3"/>
  <c r="F30" i="3" s="1"/>
  <c r="I27" i="3"/>
  <c r="F26" i="3"/>
  <c r="I26" i="3" s="1"/>
  <c r="I25" i="3"/>
  <c r="I23" i="3"/>
  <c r="T22" i="3"/>
  <c r="K21" i="3"/>
  <c r="G20" i="3"/>
  <c r="F20" i="3"/>
  <c r="F19" i="3"/>
  <c r="I19" i="3" s="1"/>
  <c r="G18" i="3"/>
  <c r="F18" i="3"/>
  <c r="I18" i="3" s="1"/>
  <c r="K17" i="3"/>
  <c r="G17" i="3"/>
  <c r="K18" i="3" s="1"/>
  <c r="K19" i="3" s="1"/>
  <c r="K20" i="3" s="1"/>
  <c r="F17" i="3"/>
  <c r="I17" i="3" s="1"/>
  <c r="F16" i="3"/>
  <c r="I16" i="3" s="1"/>
  <c r="M15" i="3"/>
  <c r="L15" i="3"/>
  <c r="K15" i="3"/>
  <c r="I15" i="3"/>
  <c r="F15" i="3"/>
  <c r="I14" i="3"/>
  <c r="G13" i="3"/>
  <c r="G12" i="3"/>
  <c r="A12" i="3"/>
  <c r="A13" i="3" s="1"/>
  <c r="A14" i="3" s="1"/>
  <c r="A20" i="3" s="1"/>
  <c r="A21" i="3" s="1"/>
  <c r="A22" i="3" s="1"/>
  <c r="A23" i="3" s="1"/>
  <c r="A24" i="3" s="1"/>
  <c r="A25" i="3" s="1"/>
  <c r="A26" i="3" s="1"/>
  <c r="A27" i="3" s="1"/>
  <c r="A30" i="3" s="1"/>
  <c r="A31" i="3" s="1"/>
  <c r="A33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60" i="3" s="1"/>
  <c r="A62" i="3" s="1"/>
  <c r="A63" i="3" s="1"/>
  <c r="A64" i="3" s="1"/>
  <c r="A65" i="3" s="1"/>
  <c r="A67" i="3" s="1"/>
  <c r="A68" i="3" s="1"/>
  <c r="A69" i="3" s="1"/>
  <c r="A70" i="3" s="1"/>
  <c r="A71" i="3" s="1"/>
  <c r="A72" i="3" s="1"/>
  <c r="M11" i="3"/>
  <c r="J11" i="3"/>
  <c r="F11" i="3"/>
  <c r="F13" i="3" s="1"/>
  <c r="I13" i="3" s="1"/>
  <c r="D8" i="3"/>
  <c r="J73" i="3" s="1"/>
  <c r="J74" i="3" s="1"/>
  <c r="J97" i="3" s="1"/>
  <c r="J7" i="3"/>
  <c r="J9" i="3" s="1"/>
  <c r="J6" i="3"/>
  <c r="K21" i="2"/>
  <c r="K17" i="2"/>
  <c r="I56" i="2"/>
  <c r="G20" i="2"/>
  <c r="G18" i="2"/>
  <c r="G17" i="2"/>
  <c r="K18" i="2" s="1"/>
  <c r="K19" i="2" s="1"/>
  <c r="K20" i="2" s="1"/>
  <c r="G13" i="2"/>
  <c r="G12" i="2"/>
  <c r="M96" i="3" l="1"/>
  <c r="N96" i="3" s="1"/>
  <c r="I20" i="3"/>
  <c r="F29" i="3"/>
  <c r="I29" i="3" s="1"/>
  <c r="F31" i="3"/>
  <c r="I30" i="3"/>
  <c r="K62" i="3"/>
  <c r="F21" i="3"/>
  <c r="I28" i="3"/>
  <c r="K63" i="3"/>
  <c r="K66" i="3" s="1"/>
  <c r="K65" i="3"/>
  <c r="I11" i="3"/>
  <c r="F12" i="3"/>
  <c r="I12" i="3" s="1"/>
  <c r="I121" i="2"/>
  <c r="I120" i="2"/>
  <c r="N112" i="2"/>
  <c r="N111" i="2"/>
  <c r="N110" i="2"/>
  <c r="N109" i="2"/>
  <c r="N108" i="2"/>
  <c r="N107" i="2"/>
  <c r="N106" i="2"/>
  <c r="N105" i="2"/>
  <c r="N104" i="2"/>
  <c r="K104" i="2"/>
  <c r="N103" i="2"/>
  <c r="K103" i="2"/>
  <c r="N102" i="2"/>
  <c r="K102" i="2"/>
  <c r="N101" i="2"/>
  <c r="K101" i="2"/>
  <c r="N100" i="2"/>
  <c r="K100" i="2"/>
  <c r="N99" i="2"/>
  <c r="L99" i="2"/>
  <c r="K99" i="2"/>
  <c r="N98" i="2"/>
  <c r="L98" i="2"/>
  <c r="K98" i="2"/>
  <c r="N97" i="2"/>
  <c r="L97" i="2"/>
  <c r="K97" i="2"/>
  <c r="Q96" i="2"/>
  <c r="L96" i="2"/>
  <c r="K96" i="2"/>
  <c r="L95" i="2"/>
  <c r="M95" i="2" s="1"/>
  <c r="N95" i="2" s="1"/>
  <c r="K95" i="2"/>
  <c r="H75" i="2"/>
  <c r="F75" i="2"/>
  <c r="K60" i="2"/>
  <c r="K61" i="2" s="1"/>
  <c r="U59" i="2"/>
  <c r="L49" i="2"/>
  <c r="L48" i="2"/>
  <c r="I39" i="2"/>
  <c r="K38" i="2"/>
  <c r="I38" i="2"/>
  <c r="K37" i="2"/>
  <c r="K39" i="2" s="1"/>
  <c r="I37" i="2"/>
  <c r="J36" i="2"/>
  <c r="I36" i="2"/>
  <c r="J34" i="2"/>
  <c r="J35" i="2" s="1"/>
  <c r="M33" i="2"/>
  <c r="F28" i="2"/>
  <c r="F30" i="2" s="1"/>
  <c r="I27" i="2"/>
  <c r="F26" i="2"/>
  <c r="I26" i="2" s="1"/>
  <c r="I25" i="2"/>
  <c r="I23" i="2"/>
  <c r="T22" i="2"/>
  <c r="F20" i="2"/>
  <c r="I20" i="2" s="1"/>
  <c r="F19" i="2"/>
  <c r="I19" i="2" s="1"/>
  <c r="F18" i="2"/>
  <c r="F17" i="2"/>
  <c r="F16" i="2"/>
  <c r="I16" i="2" s="1"/>
  <c r="M15" i="2"/>
  <c r="L15" i="2"/>
  <c r="K15" i="2"/>
  <c r="F15" i="2"/>
  <c r="I14" i="2"/>
  <c r="A12" i="2"/>
  <c r="A13" i="2" s="1"/>
  <c r="A14" i="2" s="1"/>
  <c r="A20" i="2" s="1"/>
  <c r="A21" i="2" s="1"/>
  <c r="A22" i="2" s="1"/>
  <c r="A23" i="2" s="1"/>
  <c r="A24" i="2" s="1"/>
  <c r="A25" i="2" s="1"/>
  <c r="A26" i="2" s="1"/>
  <c r="A27" i="2" s="1"/>
  <c r="A30" i="2" s="1"/>
  <c r="A31" i="2" s="1"/>
  <c r="A33" i="2" s="1"/>
  <c r="A36" i="2" s="1"/>
  <c r="A37" i="2" s="1"/>
  <c r="A38" i="2" s="1"/>
  <c r="M11" i="2"/>
  <c r="J11" i="2"/>
  <c r="F11" i="2"/>
  <c r="F13" i="2" s="1"/>
  <c r="D8" i="2"/>
  <c r="J73" i="2" s="1"/>
  <c r="J74" i="2" s="1"/>
  <c r="J97" i="2" s="1"/>
  <c r="J7" i="2"/>
  <c r="J9" i="2" s="1"/>
  <c r="J6" i="2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60" i="2" s="1"/>
  <c r="A62" i="2" s="1"/>
  <c r="A63" i="2" s="1"/>
  <c r="A64" i="2" s="1"/>
  <c r="A65" i="2" s="1"/>
  <c r="A67" i="2" s="1"/>
  <c r="A68" i="2" s="1"/>
  <c r="A69" i="2" s="1"/>
  <c r="A70" i="2" s="1"/>
  <c r="A71" i="2" s="1"/>
  <c r="A72" i="2" s="1"/>
  <c r="M96" i="2"/>
  <c r="N96" i="2" s="1"/>
  <c r="F22" i="3"/>
  <c r="I21" i="3"/>
  <c r="F33" i="3"/>
  <c r="I31" i="3"/>
  <c r="I18" i="2"/>
  <c r="I13" i="2"/>
  <c r="F29" i="2"/>
  <c r="I29" i="2" s="1"/>
  <c r="I17" i="2"/>
  <c r="F31" i="2"/>
  <c r="I30" i="2"/>
  <c r="K65" i="2"/>
  <c r="K64" i="2"/>
  <c r="K63" i="2"/>
  <c r="K62" i="2"/>
  <c r="F21" i="2"/>
  <c r="I15" i="2"/>
  <c r="I28" i="2"/>
  <c r="I11" i="2"/>
  <c r="F12" i="2"/>
  <c r="I12" i="2" s="1"/>
  <c r="F24" i="3" l="1"/>
  <c r="I24" i="3" s="1"/>
  <c r="I22" i="3"/>
  <c r="F34" i="3"/>
  <c r="I33" i="3"/>
  <c r="K66" i="2"/>
  <c r="F33" i="2"/>
  <c r="I31" i="2"/>
  <c r="I21" i="2"/>
  <c r="F22" i="2"/>
  <c r="I34" i="3" l="1"/>
  <c r="F35" i="3"/>
  <c r="I35" i="3" s="1"/>
  <c r="I32" i="3"/>
  <c r="F24" i="2"/>
  <c r="I24" i="2" s="1"/>
  <c r="I22" i="2"/>
  <c r="F34" i="2"/>
  <c r="I33" i="2"/>
  <c r="I59" i="3" l="1"/>
  <c r="I57" i="3"/>
  <c r="F35" i="2"/>
  <c r="I35" i="2" s="1"/>
  <c r="I34" i="2"/>
  <c r="I32" i="2"/>
  <c r="I60" i="3" l="1"/>
  <c r="I61" i="3" s="1"/>
  <c r="I59" i="2"/>
  <c r="I58" i="2"/>
  <c r="I57" i="2"/>
  <c r="I66" i="3" l="1"/>
  <c r="I60" i="2"/>
  <c r="I61" i="2" s="1"/>
  <c r="I73" i="3" l="1"/>
  <c r="E118" i="3" s="1"/>
  <c r="I118" i="3" s="1"/>
  <c r="I64" i="2"/>
  <c r="I63" i="2"/>
  <c r="I62" i="2"/>
  <c r="I65" i="2"/>
  <c r="G74" i="3" l="1"/>
  <c r="E77" i="3" s="1"/>
  <c r="J75" i="3"/>
  <c r="G78" i="3"/>
  <c r="A95" i="3"/>
  <c r="A120" i="3" s="1"/>
  <c r="A121" i="3" s="1"/>
  <c r="I66" i="2"/>
  <c r="I73" i="2" s="1"/>
  <c r="E118" i="2" s="1"/>
  <c r="I118" i="2" s="1"/>
  <c r="J76" i="3" l="1"/>
  <c r="K75" i="3"/>
  <c r="L75" i="3" s="1"/>
  <c r="G75" i="3"/>
  <c r="G76" i="3" s="1"/>
  <c r="G78" i="2"/>
  <c r="G74" i="2"/>
  <c r="A95" i="2"/>
  <c r="A120" i="2" s="1"/>
  <c r="A121" i="2" s="1"/>
  <c r="J75" i="2"/>
  <c r="K76" i="3" l="1"/>
  <c r="L76" i="3" s="1"/>
  <c r="G75" i="2"/>
  <c r="G76" i="2" s="1"/>
  <c r="J76" i="2"/>
  <c r="E77" i="2"/>
  <c r="K75" i="2"/>
  <c r="L75" i="2" s="1"/>
  <c r="K76" i="2" l="1"/>
  <c r="L76" i="2" s="1"/>
</calcChain>
</file>

<file path=xl/sharedStrings.xml><?xml version="1.0" encoding="utf-8"?>
<sst xmlns="http://schemas.openxmlformats.org/spreadsheetml/2006/main" count="310" uniqueCount="102">
  <si>
    <t>TAMIL NADU POLICE HOUSING CORPORATION LIMITED</t>
  </si>
  <si>
    <t xml:space="preserve">Rough Cost Estimate </t>
  </si>
  <si>
    <t>=</t>
  </si>
  <si>
    <r>
      <t>m</t>
    </r>
    <r>
      <rPr>
        <vertAlign val="superscript"/>
        <sz val="12"/>
        <color theme="1"/>
        <rFont val="Arial"/>
        <family val="2"/>
      </rPr>
      <t>2</t>
    </r>
  </si>
  <si>
    <t xml:space="preserve">Total </t>
  </si>
  <si>
    <r>
      <t>m</t>
    </r>
    <r>
      <rPr>
        <b/>
        <vertAlign val="superscript"/>
        <sz val="12"/>
        <color theme="1"/>
        <rFont val="Arial"/>
        <family val="2"/>
      </rPr>
      <t>2</t>
    </r>
  </si>
  <si>
    <t>First floor</t>
  </si>
  <si>
    <r>
      <t>m</t>
    </r>
    <r>
      <rPr>
        <vertAlign val="superscript"/>
        <sz val="12"/>
        <color theme="1"/>
        <rFont val="Arial"/>
        <family val="2"/>
      </rPr>
      <t xml:space="preserve">2 </t>
    </r>
    <r>
      <rPr>
        <sz val="12"/>
        <color theme="1"/>
        <rFont val="Arial"/>
        <family val="2"/>
      </rPr>
      <t xml:space="preserve">(Half area) </t>
    </r>
  </si>
  <si>
    <t>Sl.No.</t>
  </si>
  <si>
    <t>Description</t>
  </si>
  <si>
    <r>
      <t>Plinth Area (m</t>
    </r>
    <r>
      <rPr>
        <b/>
        <vertAlign val="super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)</t>
    </r>
  </si>
  <si>
    <t>Rate                   Rs.</t>
  </si>
  <si>
    <t>Per</t>
  </si>
  <si>
    <t>Amount               Rs.</t>
  </si>
  <si>
    <t xml:space="preserve">Foundation </t>
  </si>
  <si>
    <r>
      <t>m</t>
    </r>
    <r>
      <rPr>
        <vertAlign val="superscript"/>
        <sz val="14"/>
        <color theme="1"/>
        <rFont val="Arial"/>
        <family val="2"/>
      </rPr>
      <t>2</t>
    </r>
  </si>
  <si>
    <t>For Additional basement height  0.90m</t>
  </si>
  <si>
    <t xml:space="preserve"> Super Structure </t>
  </si>
  <si>
    <t xml:space="preserve">a) Super Structure for Office, store, rest room, centry room &amp; toilet etc., in Ground floor </t>
  </si>
  <si>
    <t xml:space="preserve">b) Super Structure for Garage in Ground floor  (65% of Superstructure cost of non residental area ) </t>
  </si>
  <si>
    <t xml:space="preserve">c) First floor  </t>
  </si>
  <si>
    <t xml:space="preserve">d) Portico Verandah (65% of plinth area of non -residential cost) 
</t>
  </si>
  <si>
    <t xml:space="preserve">e) Head room  (65% of plinth area of non -residential cost) 
</t>
  </si>
  <si>
    <t>Roof Finishing</t>
  </si>
  <si>
    <t>Antitermite treatment</t>
  </si>
  <si>
    <t>Vitrified tile flooring (80% of Plinth Area)</t>
  </si>
  <si>
    <t>Dummy column</t>
  </si>
  <si>
    <t xml:space="preserve">Cement painting / OBD painting (inner 50% of Plinth Area ) </t>
  </si>
  <si>
    <t xml:space="preserve">Plastic Emulsion paint  (50% of Plinth Area outer) </t>
  </si>
  <si>
    <t>a] Internal Water Supply arrangements</t>
  </si>
  <si>
    <t>b] Internal Sanitary arrangements</t>
  </si>
  <si>
    <t>c] Internal Electrical arrangements</t>
  </si>
  <si>
    <t xml:space="preserve">Extra provision for TW door shutter,cupboard shutter,bathroom fittings </t>
  </si>
  <si>
    <t>Add Extra provision for LED Lightings /Power plugs and computer plugs</t>
  </si>
  <si>
    <t>Sub - Total - I</t>
  </si>
  <si>
    <t>a] External Water Supply arrangements (GF+FF)</t>
  </si>
  <si>
    <t>b] External Sanitary arrangements (GF+FF)</t>
  </si>
  <si>
    <t>c] External Electrical arrangements (GF+FF)</t>
  </si>
  <si>
    <t>Pavement platform all-round the building (1.20m width)</t>
  </si>
  <si>
    <t>Rmt</t>
  </si>
  <si>
    <t>Rainwater harvesting</t>
  </si>
  <si>
    <t>Each</t>
  </si>
  <si>
    <t xml:space="preserve">Provision for Vehicle shed  </t>
  </si>
  <si>
    <t>L.S</t>
  </si>
  <si>
    <t>Provision for Drinking water supply arrangements</t>
  </si>
  <si>
    <t>Provision for hose drying yard</t>
  </si>
  <si>
    <t>Provision for photograpic charges</t>
  </si>
  <si>
    <t>Provision for hose dry rack arrangements</t>
  </si>
  <si>
    <t>Provision for steel ladder</t>
  </si>
  <si>
    <t>Provision for solar arrangements</t>
  </si>
  <si>
    <t>Provision for UG cable arrangements for three phase EB servive connection</t>
  </si>
  <si>
    <t>Provision for numbering  and lettering the building</t>
  </si>
  <si>
    <t>Provision for Ramp arrangements</t>
  </si>
  <si>
    <t>Provision for Service pit</t>
  </si>
  <si>
    <t>Provision for Filling lowlying area</t>
  </si>
  <si>
    <t>As per PWD PA rates 2020-2021</t>
  </si>
  <si>
    <t>Finishing Elevation charges at 1% of building cost</t>
  </si>
  <si>
    <t>"</t>
  </si>
  <si>
    <t>Sub - Total - II</t>
  </si>
  <si>
    <t>GST@12%</t>
  </si>
  <si>
    <t>Sub - Total - III</t>
  </si>
  <si>
    <t>Labour welfare fund at 1.0%</t>
  </si>
  <si>
    <t>As per PWD Norms</t>
  </si>
  <si>
    <t>Unforeseen items,Contigencies &amp; Petty Supervision charges 
at 2.50%</t>
  </si>
  <si>
    <t>Provision for Supervision charges at 7.50%</t>
  </si>
  <si>
    <t>-</t>
  </si>
  <si>
    <t>Price adjustment clause  at 5%</t>
  </si>
  <si>
    <t xml:space="preserve">             Sub-Total - IV</t>
  </si>
  <si>
    <t>Cost of foundation Stone laying &amp; Inagural function</t>
  </si>
  <si>
    <t>Advertisement charges</t>
  </si>
  <si>
    <t xml:space="preserve">Provision for EB deposits </t>
  </si>
  <si>
    <t>Provision for property tax &amp; planning permission payment to local body</t>
  </si>
  <si>
    <t>Structural design and consultancy charges</t>
  </si>
  <si>
    <t>As per GO MS no 181,Dt:16.05.2003.</t>
  </si>
  <si>
    <t>Grand Total Rs.</t>
  </si>
  <si>
    <t xml:space="preserve">Say Rs. </t>
  </si>
  <si>
    <t>Lakhs</t>
  </si>
  <si>
    <t>For the year 2019-20 (including 12.5% escallation)
(77.04+9.63 = 86.67)</t>
  </si>
  <si>
    <t>DDDDDDDDTTHH7Z8ZHTZ7HZHH7ZH8H78ZH8Z7HH</t>
  </si>
  <si>
    <t>Ground floor (Garage area)</t>
  </si>
  <si>
    <t>Ground floor (Office Area)</t>
  </si>
  <si>
    <t>Provision for Compound wall</t>
  </si>
  <si>
    <t>Provision for RCC Over head tank</t>
  </si>
  <si>
    <t>Provision for Sump arrangements</t>
  </si>
  <si>
    <t>Provision for Borewell, Pump room and pumpset arrangements</t>
  </si>
  <si>
    <t>Provision for Metro water</t>
  </si>
  <si>
    <t xml:space="preserve">For the year 2021-22 (including 12.5% escallation)
</t>
  </si>
  <si>
    <r>
      <rPr>
        <b/>
        <sz val="13.5"/>
        <color theme="1"/>
        <rFont val="Arial"/>
        <family val="2"/>
      </rPr>
      <t xml:space="preserve">Name of Work: </t>
    </r>
    <r>
      <rPr>
        <sz val="13.5"/>
        <color theme="1"/>
        <rFont val="Arial"/>
        <family val="2"/>
      </rPr>
      <t>Construction of New Building for Fire and Rescue Service Station at Redhills in Chennai city</t>
    </r>
  </si>
  <si>
    <t xml:space="preserve">Head room (Half area) </t>
  </si>
  <si>
    <t xml:space="preserve">Verandah &amp; Portico (Half area)  </t>
  </si>
  <si>
    <t>For Additional foundation depth  0.90m</t>
  </si>
  <si>
    <t>Provision for Approach road</t>
  </si>
  <si>
    <t>Provision for Centry room</t>
  </si>
  <si>
    <t>Lawn @ 3% of building cost</t>
  </si>
  <si>
    <t>Soil Investigation Charges. (2 Nos)</t>
  </si>
  <si>
    <t>Rate adopted for the Year 2021-2022.</t>
  </si>
  <si>
    <t>Provision for Additional  Roof height- 2.8m (2.80*615)
(3.3m-6.1m)</t>
  </si>
  <si>
    <t>As per PWD PA rates 2021-2022</t>
  </si>
  <si>
    <t>For the year 2021-2022</t>
  </si>
  <si>
    <t>Detailed Estimate Based on PWD Plinth Area Rates</t>
  </si>
  <si>
    <t>Provision for Supervision charges at 5%</t>
  </si>
  <si>
    <t>Unforeseen items,Contigencies &amp; Petty Supervision charges 
at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</si>
</sst>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"/>
    <numFmt numFmtId="167" formatCode="0.00;[Red]0.00"/>
  </numFmts>
  <fonts count="16" x14ac:knownFonts="1">
    <font>
      <sz val="10"/>
      <name val="Arial"/>
    </font>
    <font>
      <b/>
      <sz val="16"/>
      <name val="Arial"/>
      <family val="2"/>
    </font>
    <font>
      <sz val="13.5"/>
      <color theme="1"/>
      <name val="Arial"/>
      <family val="2"/>
    </font>
    <font>
      <b/>
      <sz val="13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vertAlign val="superscript"/>
      <sz val="12"/>
      <color theme="1"/>
      <name val="Arial"/>
      <family val="2"/>
    </font>
    <font>
      <sz val="10"/>
      <name val="Arial"/>
      <family val="2"/>
    </font>
    <font>
      <vertAlign val="superscript"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165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6" fillId="0" borderId="4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9" fillId="0" borderId="8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2" fontId="8" fillId="0" borderId="4" xfId="0" applyNumberFormat="1" applyFont="1" applyBorder="1" applyAlignment="1">
      <alignment horizontal="left" vertical="center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2" fontId="9" fillId="0" borderId="8" xfId="0" applyNumberFormat="1" applyFont="1" applyBorder="1" applyAlignment="1">
      <alignment vertical="top"/>
    </xf>
    <xf numFmtId="1" fontId="8" fillId="0" borderId="4" xfId="0" applyNumberFormat="1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 wrapText="1"/>
    </xf>
    <xf numFmtId="4" fontId="8" fillId="0" borderId="4" xfId="0" applyNumberFormat="1" applyFont="1" applyBorder="1" applyAlignment="1">
      <alignment horizontal="center" vertical="center" wrapText="1"/>
    </xf>
    <xf numFmtId="2" fontId="8" fillId="0" borderId="4" xfId="1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1" fontId="9" fillId="0" borderId="4" xfId="0" applyNumberFormat="1" applyFont="1" applyBorder="1" applyAlignment="1">
      <alignment horizontal="center" vertical="top"/>
    </xf>
    <xf numFmtId="2" fontId="9" fillId="0" borderId="4" xfId="0" applyNumberFormat="1" applyFont="1" applyBorder="1" applyAlignment="1">
      <alignment horizontal="center" vertical="top"/>
    </xf>
    <xf numFmtId="167" fontId="9" fillId="0" borderId="4" xfId="0" applyNumberFormat="1" applyFont="1" applyBorder="1" applyAlignment="1">
      <alignment horizontal="center" vertical="top"/>
    </xf>
    <xf numFmtId="4" fontId="9" fillId="0" borderId="4" xfId="0" applyNumberFormat="1" applyFont="1" applyBorder="1" applyAlignment="1">
      <alignment horizontal="center" vertical="top"/>
    </xf>
    <xf numFmtId="2" fontId="9" fillId="0" borderId="4" xfId="1" applyNumberFormat="1" applyFont="1" applyBorder="1" applyAlignment="1">
      <alignment horizontal="right" vertical="top"/>
    </xf>
    <xf numFmtId="2" fontId="9" fillId="0" borderId="14" xfId="0" applyNumberFormat="1" applyFont="1" applyBorder="1" applyAlignment="1">
      <alignment vertical="top"/>
    </xf>
    <xf numFmtId="2" fontId="9" fillId="0" borderId="15" xfId="0" applyNumberFormat="1" applyFont="1" applyBorder="1" applyAlignment="1">
      <alignment vertical="top"/>
    </xf>
    <xf numFmtId="167" fontId="9" fillId="0" borderId="15" xfId="0" applyNumberFormat="1" applyFont="1" applyBorder="1" applyAlignment="1">
      <alignment vertical="top"/>
    </xf>
    <xf numFmtId="0" fontId="9" fillId="0" borderId="15" xfId="0" applyFont="1" applyBorder="1" applyAlignment="1">
      <alignment vertical="top"/>
    </xf>
    <xf numFmtId="2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>
      <alignment vertical="top"/>
    </xf>
    <xf numFmtId="167" fontId="9" fillId="0" borderId="8" xfId="0" applyNumberFormat="1" applyFont="1" applyBorder="1" applyAlignment="1">
      <alignment vertical="top"/>
    </xf>
    <xf numFmtId="166" fontId="9" fillId="0" borderId="4" xfId="0" applyNumberFormat="1" applyFont="1" applyBorder="1" applyAlignment="1">
      <alignment horizontal="center" vertical="top"/>
    </xf>
    <xf numFmtId="0" fontId="9" fillId="0" borderId="4" xfId="0" applyFont="1" applyBorder="1" applyAlignment="1">
      <alignment vertical="top"/>
    </xf>
    <xf numFmtId="2" fontId="5" fillId="0" borderId="4" xfId="1" applyNumberFormat="1" applyFont="1" applyBorder="1" applyAlignment="1">
      <alignment horizontal="right" vertical="top"/>
    </xf>
    <xf numFmtId="4" fontId="9" fillId="0" borderId="8" xfId="0" applyNumberFormat="1" applyFont="1" applyBorder="1" applyAlignment="1">
      <alignment horizontal="center" vertical="top"/>
    </xf>
    <xf numFmtId="4" fontId="9" fillId="0" borderId="9" xfId="0" applyNumberFormat="1" applyFont="1" applyBorder="1" applyAlignment="1">
      <alignment vertical="top"/>
    </xf>
    <xf numFmtId="4" fontId="9" fillId="3" borderId="4" xfId="0" applyNumberFormat="1" applyFont="1" applyFill="1" applyBorder="1" applyAlignment="1">
      <alignment horizontal="center" vertical="top"/>
    </xf>
    <xf numFmtId="2" fontId="9" fillId="0" borderId="4" xfId="2" applyNumberFormat="1" applyFont="1" applyBorder="1" applyAlignment="1">
      <alignment horizontal="right" vertical="top"/>
    </xf>
    <xf numFmtId="2" fontId="9" fillId="0" borderId="9" xfId="3" applyNumberFormat="1" applyFont="1" applyBorder="1" applyAlignment="1">
      <alignment horizontal="right" vertical="top"/>
    </xf>
    <xf numFmtId="2" fontId="9" fillId="2" borderId="4" xfId="0" applyNumberFormat="1" applyFont="1" applyFill="1" applyBorder="1" applyAlignment="1">
      <alignment horizontal="right" vertical="top"/>
    </xf>
    <xf numFmtId="2" fontId="9" fillId="0" borderId="4" xfId="0" applyNumberFormat="1" applyFont="1" applyBorder="1" applyAlignment="1">
      <alignment horizontal="right" vertical="top"/>
    </xf>
    <xf numFmtId="2" fontId="5" fillId="0" borderId="9" xfId="0" applyNumberFormat="1" applyFont="1" applyBorder="1" applyAlignment="1">
      <alignment vertical="top"/>
    </xf>
    <xf numFmtId="2" fontId="8" fillId="0" borderId="4" xfId="0" applyNumberFormat="1" applyFont="1" applyBorder="1" applyAlignment="1">
      <alignment horizontal="right" vertical="top"/>
    </xf>
    <xf numFmtId="2" fontId="8" fillId="0" borderId="4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center" vertical="top"/>
    </xf>
    <xf numFmtId="0" fontId="4" fillId="0" borderId="4" xfId="0" applyNumberFormat="1" applyFont="1" applyBorder="1" applyAlignment="1">
      <alignment horizontal="center" vertical="top" wrapText="1"/>
    </xf>
    <xf numFmtId="0" fontId="8" fillId="0" borderId="4" xfId="0" applyFont="1" applyBorder="1" applyAlignment="1">
      <alignment horizontal="right" vertical="top"/>
    </xf>
    <xf numFmtId="0" fontId="8" fillId="0" borderId="4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2" fontId="9" fillId="0" borderId="0" xfId="0" applyNumberFormat="1" applyFont="1" applyBorder="1" applyAlignment="1">
      <alignment vertical="top"/>
    </xf>
    <xf numFmtId="4" fontId="9" fillId="0" borderId="0" xfId="0" applyNumberFormat="1" applyFont="1" applyBorder="1" applyAlignment="1">
      <alignment vertical="top"/>
    </xf>
    <xf numFmtId="2" fontId="5" fillId="0" borderId="0" xfId="0" applyNumberFormat="1" applyFont="1" applyBorder="1" applyAlignment="1">
      <alignment vertical="top"/>
    </xf>
    <xf numFmtId="0" fontId="8" fillId="0" borderId="4" xfId="0" applyFont="1" applyBorder="1" applyAlignment="1">
      <alignment horizontal="right" vertical="center"/>
    </xf>
    <xf numFmtId="2" fontId="8" fillId="0" borderId="4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2" fontId="5" fillId="0" borderId="0" xfId="0" applyNumberFormat="1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2" fontId="13" fillId="0" borderId="0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2" fontId="4" fillId="0" borderId="0" xfId="0" applyNumberFormat="1" applyFont="1" applyBorder="1" applyAlignment="1">
      <alignment vertical="top"/>
    </xf>
    <xf numFmtId="4" fontId="4" fillId="0" borderId="0" xfId="0" applyNumberFormat="1" applyFont="1" applyBorder="1" applyAlignment="1">
      <alignment vertical="top"/>
    </xf>
    <xf numFmtId="2" fontId="14" fillId="0" borderId="0" xfId="0" applyNumberFormat="1" applyFont="1" applyBorder="1" applyAlignment="1">
      <alignment vertical="top"/>
    </xf>
    <xf numFmtId="2" fontId="4" fillId="0" borderId="15" xfId="0" applyNumberFormat="1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2" fontId="1" fillId="0" borderId="0" xfId="0" applyNumberFormat="1" applyFont="1" applyBorder="1" applyAlignment="1">
      <alignment horizontal="center" vertical="top"/>
    </xf>
    <xf numFmtId="0" fontId="0" fillId="0" borderId="0" xfId="0" applyBorder="1" applyAlignment="1">
      <alignment vertical="top"/>
    </xf>
    <xf numFmtId="2" fontId="11" fillId="0" borderId="0" xfId="0" applyNumberFormat="1" applyFont="1" applyBorder="1" applyAlignment="1">
      <alignment vertical="top"/>
    </xf>
    <xf numFmtId="4" fontId="11" fillId="0" borderId="0" xfId="0" applyNumberFormat="1" applyFont="1" applyBorder="1" applyAlignment="1">
      <alignment vertical="top"/>
    </xf>
    <xf numFmtId="2" fontId="15" fillId="0" borderId="0" xfId="0" applyNumberFormat="1" applyFont="1" applyBorder="1" applyAlignment="1">
      <alignment vertical="top"/>
    </xf>
    <xf numFmtId="2" fontId="0" fillId="0" borderId="15" xfId="0" applyNumberFormat="1" applyBorder="1" applyAlignment="1">
      <alignment vertical="top"/>
    </xf>
    <xf numFmtId="2" fontId="11" fillId="0" borderId="0" xfId="0" applyNumberFormat="1" applyFont="1" applyAlignment="1">
      <alignment vertical="top"/>
    </xf>
    <xf numFmtId="4" fontId="11" fillId="0" borderId="0" xfId="0" applyNumberFormat="1" applyFont="1" applyAlignment="1">
      <alignment vertical="top"/>
    </xf>
    <xf numFmtId="2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0" fontId="8" fillId="0" borderId="4" xfId="0" applyFont="1" applyBorder="1" applyAlignment="1">
      <alignment horizontal="left" vertical="center"/>
    </xf>
    <xf numFmtId="2" fontId="9" fillId="3" borderId="4" xfId="0" applyNumberFormat="1" applyFont="1" applyFill="1" applyBorder="1" applyAlignment="1">
      <alignment horizontal="center" vertical="top"/>
    </xf>
    <xf numFmtId="2" fontId="9" fillId="3" borderId="4" xfId="0" applyNumberFormat="1" applyFont="1" applyFill="1" applyBorder="1" applyAlignment="1">
      <alignment horizontal="center" vertical="top"/>
    </xf>
    <xf numFmtId="0" fontId="8" fillId="0" borderId="4" xfId="0" applyFont="1" applyBorder="1" applyAlignment="1">
      <alignment horizontal="left" vertical="center"/>
    </xf>
    <xf numFmtId="2" fontId="9" fillId="2" borderId="4" xfId="0" applyNumberFormat="1" applyFont="1" applyFill="1" applyBorder="1" applyAlignment="1">
      <alignment horizontal="right" vertical="center"/>
    </xf>
    <xf numFmtId="2" fontId="9" fillId="0" borderId="4" xfId="0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9" fillId="3" borderId="4" xfId="0" applyFont="1" applyFill="1" applyBorder="1" applyAlignment="1">
      <alignment horizontal="left" vertical="top"/>
    </xf>
    <xf numFmtId="2" fontId="4" fillId="3" borderId="4" xfId="0" applyNumberFormat="1" applyFont="1" applyFill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top"/>
    </xf>
    <xf numFmtId="2" fontId="8" fillId="0" borderId="1" xfId="0" applyNumberFormat="1" applyFont="1" applyBorder="1" applyAlignment="1">
      <alignment horizontal="center" vertical="top"/>
    </xf>
    <xf numFmtId="2" fontId="8" fillId="0" borderId="2" xfId="0" applyNumberFormat="1" applyFont="1" applyBorder="1" applyAlignment="1">
      <alignment horizontal="center" vertical="top"/>
    </xf>
    <xf numFmtId="2" fontId="8" fillId="0" borderId="3" xfId="0" applyNumberFormat="1" applyFont="1" applyBorder="1" applyAlignment="1">
      <alignment horizontal="center" vertical="top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9" fillId="3" borderId="4" xfId="0" applyFont="1" applyFill="1" applyBorder="1" applyAlignment="1">
      <alignment vertical="top" wrapText="1"/>
    </xf>
    <xf numFmtId="2" fontId="9" fillId="3" borderId="4" xfId="0" applyNumberFormat="1" applyFont="1" applyFill="1" applyBorder="1" applyAlignment="1">
      <alignment horizontal="center" vertical="top"/>
    </xf>
    <xf numFmtId="0" fontId="9" fillId="3" borderId="4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2" fontId="6" fillId="0" borderId="4" xfId="0" applyNumberFormat="1" applyFont="1" applyBorder="1" applyAlignment="1">
      <alignment horizontal="center" vertical="top"/>
    </xf>
    <xf numFmtId="4" fontId="4" fillId="0" borderId="4" xfId="0" applyNumberFormat="1" applyFont="1" applyBorder="1" applyAlignment="1">
      <alignment horizontal="center" vertical="top"/>
    </xf>
    <xf numFmtId="0" fontId="9" fillId="3" borderId="1" xfId="0" applyFont="1" applyFill="1" applyBorder="1" applyAlignment="1">
      <alignment vertical="center"/>
    </xf>
    <xf numFmtId="0" fontId="9" fillId="3" borderId="2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2" fontId="6" fillId="0" borderId="4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horizontal="left" vertical="center"/>
    </xf>
    <xf numFmtId="2" fontId="9" fillId="3" borderId="4" xfId="0" applyNumberFormat="1" applyFont="1" applyFill="1" applyBorder="1" applyAlignment="1">
      <alignment horizontal="center" vertical="center"/>
    </xf>
    <xf numFmtId="4" fontId="9" fillId="3" borderId="1" xfId="0" applyNumberFormat="1" applyFont="1" applyFill="1" applyBorder="1" applyAlignment="1">
      <alignment horizontal="left" vertical="top"/>
    </xf>
    <xf numFmtId="4" fontId="9" fillId="3" borderId="2" xfId="0" applyNumberFormat="1" applyFont="1" applyFill="1" applyBorder="1" applyAlignment="1">
      <alignment horizontal="left" vertical="top"/>
    </xf>
    <xf numFmtId="4" fontId="9" fillId="3" borderId="3" xfId="0" applyNumberFormat="1" applyFont="1" applyFill="1" applyBorder="1" applyAlignment="1">
      <alignment horizontal="left" vertical="top"/>
    </xf>
    <xf numFmtId="4" fontId="5" fillId="3" borderId="4" xfId="0" applyNumberFormat="1" applyFont="1" applyFill="1" applyBorder="1" applyAlignment="1">
      <alignment horizontal="center" vertical="top"/>
    </xf>
    <xf numFmtId="4" fontId="9" fillId="3" borderId="1" xfId="0" applyNumberFormat="1" applyFont="1" applyFill="1" applyBorder="1" applyAlignment="1">
      <alignment horizontal="left" vertical="center"/>
    </xf>
    <xf numFmtId="4" fontId="9" fillId="3" borderId="2" xfId="0" applyNumberFormat="1" applyFont="1" applyFill="1" applyBorder="1" applyAlignment="1">
      <alignment horizontal="left" vertical="center"/>
    </xf>
    <xf numFmtId="4" fontId="9" fillId="3" borderId="3" xfId="0" applyNumberFormat="1" applyFont="1" applyFill="1" applyBorder="1" applyAlignment="1">
      <alignment horizontal="left" vertical="center"/>
    </xf>
    <xf numFmtId="4" fontId="5" fillId="3" borderId="1" xfId="0" applyNumberFormat="1" applyFont="1" applyFill="1" applyBorder="1" applyAlignment="1">
      <alignment horizontal="center" vertical="top"/>
    </xf>
    <xf numFmtId="4" fontId="5" fillId="3" borderId="2" xfId="0" applyNumberFormat="1" applyFont="1" applyFill="1" applyBorder="1" applyAlignment="1">
      <alignment horizontal="center" vertical="top"/>
    </xf>
    <xf numFmtId="4" fontId="5" fillId="3" borderId="3" xfId="0" applyNumberFormat="1" applyFont="1" applyFill="1" applyBorder="1" applyAlignment="1">
      <alignment horizontal="center" vertical="top"/>
    </xf>
    <xf numFmtId="0" fontId="9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4" fontId="9" fillId="3" borderId="4" xfId="0" applyNumberFormat="1" applyFont="1" applyFill="1" applyBorder="1" applyAlignment="1">
      <alignment horizontal="left" vertical="top"/>
    </xf>
    <xf numFmtId="0" fontId="9" fillId="0" borderId="4" xfId="0" applyFont="1" applyBorder="1" applyAlignment="1">
      <alignment horizontal="left" vertical="top" wrapText="1"/>
    </xf>
    <xf numFmtId="4" fontId="9" fillId="3" borderId="1" xfId="0" applyNumberFormat="1" applyFont="1" applyFill="1" applyBorder="1" applyAlignment="1">
      <alignment horizontal="left" vertical="top" wrapText="1"/>
    </xf>
    <xf numFmtId="4" fontId="9" fillId="3" borderId="2" xfId="0" applyNumberFormat="1" applyFont="1" applyFill="1" applyBorder="1" applyAlignment="1">
      <alignment horizontal="left" vertical="top" wrapText="1"/>
    </xf>
    <xf numFmtId="4" fontId="9" fillId="3" borderId="3" xfId="0" applyNumberFormat="1" applyFont="1" applyFill="1" applyBorder="1" applyAlignment="1">
      <alignment horizontal="left" vertical="top" wrapText="1"/>
    </xf>
    <xf numFmtId="2" fontId="9" fillId="3" borderId="1" xfId="0" applyNumberFormat="1" applyFont="1" applyFill="1" applyBorder="1" applyAlignment="1">
      <alignment horizontal="center" vertical="top"/>
    </xf>
    <xf numFmtId="2" fontId="9" fillId="3" borderId="2" xfId="0" applyNumberFormat="1" applyFont="1" applyFill="1" applyBorder="1" applyAlignment="1">
      <alignment horizontal="center" vertical="top"/>
    </xf>
    <xf numFmtId="2" fontId="9" fillId="3" borderId="3" xfId="0" applyNumberFormat="1" applyFont="1" applyFill="1" applyBorder="1" applyAlignment="1">
      <alignment horizontal="center" vertical="top"/>
    </xf>
    <xf numFmtId="4" fontId="9" fillId="0" borderId="4" xfId="0" applyNumberFormat="1" applyFont="1" applyBorder="1" applyAlignment="1">
      <alignment horizontal="left" vertical="top" wrapText="1"/>
    </xf>
    <xf numFmtId="4" fontId="9" fillId="0" borderId="4" xfId="0" applyNumberFormat="1" applyFont="1" applyBorder="1" applyAlignment="1">
      <alignment horizontal="left" vertical="top"/>
    </xf>
    <xf numFmtId="4" fontId="9" fillId="0" borderId="1" xfId="0" applyNumberFormat="1" applyFont="1" applyBorder="1" applyAlignment="1">
      <alignment horizontal="left" vertical="top"/>
    </xf>
    <xf numFmtId="4" fontId="9" fillId="0" borderId="2" xfId="0" applyNumberFormat="1" applyFont="1" applyBorder="1" applyAlignment="1">
      <alignment horizontal="left" vertical="top"/>
    </xf>
    <xf numFmtId="4" fontId="9" fillId="0" borderId="3" xfId="0" applyNumberFormat="1" applyFont="1" applyBorder="1" applyAlignment="1">
      <alignment horizontal="left" vertical="top"/>
    </xf>
    <xf numFmtId="4" fontId="8" fillId="0" borderId="4" xfId="0" applyNumberFormat="1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left" vertical="top" wrapText="1"/>
    </xf>
    <xf numFmtId="4" fontId="9" fillId="0" borderId="1" xfId="0" applyNumberFormat="1" applyFont="1" applyBorder="1" applyAlignment="1">
      <alignment horizontal="left" vertical="top" wrapText="1"/>
    </xf>
    <xf numFmtId="4" fontId="9" fillId="0" borderId="2" xfId="0" applyNumberFormat="1" applyFont="1" applyBorder="1" applyAlignment="1">
      <alignment horizontal="left" vertical="top" wrapText="1"/>
    </xf>
    <xf numFmtId="4" fontId="9" fillId="0" borderId="3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166" fontId="8" fillId="2" borderId="5" xfId="0" applyNumberFormat="1" applyFont="1" applyFill="1" applyBorder="1" applyAlignment="1">
      <alignment horizontal="center" vertical="center"/>
    </xf>
    <xf numFmtId="166" fontId="8" fillId="2" borderId="6" xfId="0" applyNumberFormat="1" applyFont="1" applyFill="1" applyBorder="1" applyAlignment="1">
      <alignment horizontal="center" vertical="center"/>
    </xf>
    <xf numFmtId="166" fontId="8" fillId="2" borderId="7" xfId="0" applyNumberFormat="1" applyFont="1" applyFill="1" applyBorder="1" applyAlignment="1">
      <alignment horizontal="center" vertical="center"/>
    </xf>
    <xf numFmtId="166" fontId="8" fillId="2" borderId="10" xfId="0" applyNumberFormat="1" applyFont="1" applyFill="1" applyBorder="1" applyAlignment="1">
      <alignment horizontal="center" vertical="center"/>
    </xf>
    <xf numFmtId="166" fontId="8" fillId="2" borderId="0" xfId="0" applyNumberFormat="1" applyFont="1" applyFill="1" applyBorder="1" applyAlignment="1">
      <alignment horizontal="center" vertical="center"/>
    </xf>
    <xf numFmtId="166" fontId="8" fillId="2" borderId="11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top"/>
    </xf>
    <xf numFmtId="0" fontId="9" fillId="3" borderId="2" xfId="0" applyFont="1" applyFill="1" applyBorder="1" applyAlignment="1">
      <alignment horizontal="left" vertical="top"/>
    </xf>
    <xf numFmtId="0" fontId="9" fillId="3" borderId="3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vertical="top"/>
    </xf>
    <xf numFmtId="4" fontId="9" fillId="3" borderId="1" xfId="0" applyNumberFormat="1" applyFont="1" applyFill="1" applyBorder="1" applyAlignment="1">
      <alignment horizontal="center" vertical="top"/>
    </xf>
    <xf numFmtId="4" fontId="9" fillId="3" borderId="2" xfId="0" applyNumberFormat="1" applyFont="1" applyFill="1" applyBorder="1" applyAlignment="1">
      <alignment horizontal="center" vertical="top"/>
    </xf>
    <xf numFmtId="4" fontId="9" fillId="3" borderId="3" xfId="0" applyNumberFormat="1" applyFont="1" applyFill="1" applyBorder="1" applyAlignment="1">
      <alignment horizontal="center" vertical="top"/>
    </xf>
  </cellXfs>
  <cellStyles count="30">
    <cellStyle name="Comma 2" xfId="4" xr:uid="{00000000-0005-0000-0000-000000000000}"/>
    <cellStyle name="Comma 2 2" xfId="5" xr:uid="{00000000-0005-0000-0000-000001000000}"/>
    <cellStyle name="Comma 2 2 2" xfId="6" xr:uid="{00000000-0005-0000-0000-000002000000}"/>
    <cellStyle name="Comma 2 2 2 2" xfId="7" xr:uid="{00000000-0005-0000-0000-000003000000}"/>
    <cellStyle name="Comma 2 2 2 2 2" xfId="8" xr:uid="{00000000-0005-0000-0000-000004000000}"/>
    <cellStyle name="Comma 2 2 3" xfId="9" xr:uid="{00000000-0005-0000-0000-000005000000}"/>
    <cellStyle name="Comma 2 2 3 2" xfId="10" xr:uid="{00000000-0005-0000-0000-000006000000}"/>
    <cellStyle name="Comma 2 2 4" xfId="11" xr:uid="{00000000-0005-0000-0000-000007000000}"/>
    <cellStyle name="Comma 2 2 5" xfId="12" xr:uid="{00000000-0005-0000-0000-000008000000}"/>
    <cellStyle name="Comma 2 3" xfId="13" xr:uid="{00000000-0005-0000-0000-000009000000}"/>
    <cellStyle name="Comma 2 3 2" xfId="14" xr:uid="{00000000-0005-0000-0000-00000A000000}"/>
    <cellStyle name="Comma 2 4" xfId="15" xr:uid="{00000000-0005-0000-0000-00000B000000}"/>
    <cellStyle name="Comma 3" xfId="3" xr:uid="{00000000-0005-0000-0000-00000C000000}"/>
    <cellStyle name="Comma 4" xfId="16" xr:uid="{00000000-0005-0000-0000-00000D000000}"/>
    <cellStyle name="Comma 4 2" xfId="1" xr:uid="{00000000-0005-0000-0000-00000E000000}"/>
    <cellStyle name="Comma 4 3" xfId="17" xr:uid="{00000000-0005-0000-0000-00000F000000}"/>
    <cellStyle name="Comma 5" xfId="18" xr:uid="{00000000-0005-0000-0000-000010000000}"/>
    <cellStyle name="Comma 5 2" xfId="19" xr:uid="{00000000-0005-0000-0000-000011000000}"/>
    <cellStyle name="Comma 6" xfId="20" xr:uid="{00000000-0005-0000-0000-000012000000}"/>
    <cellStyle name="Comma 6 2" xfId="2" xr:uid="{00000000-0005-0000-0000-000013000000}"/>
    <cellStyle name="Comma 7" xfId="21" xr:uid="{00000000-0005-0000-0000-000014000000}"/>
    <cellStyle name="Currency 2" xfId="22" xr:uid="{00000000-0005-0000-0000-000015000000}"/>
    <cellStyle name="Currency 3" xfId="23" xr:uid="{00000000-0005-0000-0000-000016000000}"/>
    <cellStyle name="Normal" xfId="0" builtinId="0"/>
    <cellStyle name="Normal 2" xfId="24" xr:uid="{00000000-0005-0000-0000-000018000000}"/>
    <cellStyle name="Normal 2 2" xfId="25" xr:uid="{00000000-0005-0000-0000-000019000000}"/>
    <cellStyle name="Normal 3" xfId="26" xr:uid="{00000000-0005-0000-0000-00001A000000}"/>
    <cellStyle name="Normal 3 2" xfId="27" xr:uid="{00000000-0005-0000-0000-00001B000000}"/>
    <cellStyle name="Normal 4" xfId="28" xr:uid="{00000000-0005-0000-0000-00001C000000}"/>
    <cellStyle name="Normal 4 2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U130"/>
  <sheetViews>
    <sheetView tabSelected="1" view="pageBreakPreview" topLeftCell="A70" zoomScale="80" zoomScaleSheetLayoutView="80" workbookViewId="0">
      <selection activeCell="I78" sqref="I78"/>
    </sheetView>
  </sheetViews>
  <sheetFormatPr defaultColWidth="9.109375" defaultRowHeight="13.2" x14ac:dyDescent="0.25"/>
  <cols>
    <col min="1" max="1" width="9.33203125" style="74" customWidth="1"/>
    <col min="2" max="2" width="13.6640625" style="1" customWidth="1"/>
    <col min="3" max="3" width="5" style="1" customWidth="1"/>
    <col min="4" max="4" width="11" style="1" customWidth="1"/>
    <col min="5" max="5" width="50.6640625" style="1" customWidth="1"/>
    <col min="6" max="6" width="14.6640625" style="75" customWidth="1"/>
    <col min="7" max="7" width="16.6640625" style="1" customWidth="1"/>
    <col min="8" max="8" width="9.5546875" style="1" customWidth="1"/>
    <col min="9" max="9" width="18.33203125" style="73" customWidth="1"/>
    <col min="10" max="10" width="12.6640625" style="1" bestFit="1" customWidth="1"/>
    <col min="11" max="11" width="14.6640625" style="1" bestFit="1" customWidth="1"/>
    <col min="12" max="12" width="13.88671875" style="1" bestFit="1" customWidth="1"/>
    <col min="13" max="13" width="13.88671875" style="1" customWidth="1"/>
    <col min="14" max="14" width="9.5546875" style="1" bestFit="1" customWidth="1"/>
    <col min="15" max="20" width="9.109375" style="1"/>
    <col min="21" max="21" width="11.33203125" style="1" customWidth="1"/>
    <col min="22" max="16384" width="9.109375" style="1"/>
  </cols>
  <sheetData>
    <row r="1" spans="1:14" ht="37.5" customHeight="1" x14ac:dyDescent="0.25">
      <c r="A1" s="140" t="s">
        <v>0</v>
      </c>
      <c r="B1" s="141"/>
      <c r="C1" s="141"/>
      <c r="D1" s="141"/>
      <c r="E1" s="141"/>
      <c r="F1" s="141"/>
      <c r="G1" s="141"/>
      <c r="H1" s="141"/>
      <c r="I1" s="142"/>
    </row>
    <row r="2" spans="1:14" s="2" customFormat="1" ht="35.25" customHeight="1" x14ac:dyDescent="0.25">
      <c r="A2" s="143" t="s">
        <v>87</v>
      </c>
      <c r="B2" s="144"/>
      <c r="C2" s="144"/>
      <c r="D2" s="144"/>
      <c r="E2" s="144"/>
      <c r="F2" s="144"/>
      <c r="G2" s="144"/>
      <c r="H2" s="144"/>
      <c r="I2" s="145"/>
    </row>
    <row r="3" spans="1:14" s="2" customFormat="1" ht="30.75" customHeight="1" x14ac:dyDescent="0.25">
      <c r="A3" s="146" t="s">
        <v>99</v>
      </c>
      <c r="B3" s="146"/>
      <c r="C3" s="146"/>
      <c r="D3" s="146"/>
      <c r="E3" s="146"/>
      <c r="F3" s="146"/>
      <c r="G3" s="146"/>
      <c r="H3" s="146"/>
      <c r="I3" s="146"/>
    </row>
    <row r="4" spans="1:14" s="7" customFormat="1" ht="39.75" customHeight="1" x14ac:dyDescent="0.25">
      <c r="A4" s="147" t="s">
        <v>79</v>
      </c>
      <c r="B4" s="148"/>
      <c r="C4" s="3" t="s">
        <v>2</v>
      </c>
      <c r="D4" s="4">
        <v>282.38</v>
      </c>
      <c r="E4" s="5" t="s">
        <v>3</v>
      </c>
      <c r="F4" s="149" t="s">
        <v>95</v>
      </c>
      <c r="G4" s="150"/>
      <c r="H4" s="150"/>
      <c r="I4" s="151"/>
      <c r="J4" s="6"/>
    </row>
    <row r="5" spans="1:14" s="7" customFormat="1" ht="39.75" customHeight="1" x14ac:dyDescent="0.25">
      <c r="A5" s="147" t="s">
        <v>80</v>
      </c>
      <c r="B5" s="148"/>
      <c r="C5" s="3" t="s">
        <v>2</v>
      </c>
      <c r="D5" s="4">
        <v>229</v>
      </c>
      <c r="E5" s="5" t="s">
        <v>3</v>
      </c>
      <c r="F5" s="152"/>
      <c r="G5" s="153"/>
      <c r="H5" s="153"/>
      <c r="I5" s="154"/>
      <c r="J5" s="6"/>
    </row>
    <row r="6" spans="1:14" s="7" customFormat="1" ht="39.75" customHeight="1" x14ac:dyDescent="0.25">
      <c r="A6" s="147" t="s">
        <v>89</v>
      </c>
      <c r="B6" s="148"/>
      <c r="C6" s="3" t="s">
        <v>2</v>
      </c>
      <c r="D6" s="4">
        <v>12.26</v>
      </c>
      <c r="E6" s="5" t="s">
        <v>7</v>
      </c>
      <c r="F6" s="152"/>
      <c r="G6" s="153"/>
      <c r="H6" s="153"/>
      <c r="I6" s="154"/>
      <c r="J6" s="6">
        <f>12.26*2</f>
        <v>24.52</v>
      </c>
    </row>
    <row r="7" spans="1:14" s="7" customFormat="1" ht="39.75" customHeight="1" x14ac:dyDescent="0.25">
      <c r="A7" s="147" t="s">
        <v>6</v>
      </c>
      <c r="B7" s="148"/>
      <c r="C7" s="3" t="s">
        <v>2</v>
      </c>
      <c r="D7" s="4">
        <v>253.51</v>
      </c>
      <c r="E7" s="5" t="s">
        <v>3</v>
      </c>
      <c r="F7" s="152"/>
      <c r="G7" s="153"/>
      <c r="H7" s="153"/>
      <c r="I7" s="154"/>
      <c r="J7" s="11" t="e">
        <f>#REF!+D7</f>
        <v>#REF!</v>
      </c>
    </row>
    <row r="8" spans="1:14" s="10" customFormat="1" ht="39.75" customHeight="1" x14ac:dyDescent="0.25">
      <c r="A8" s="155" t="s">
        <v>4</v>
      </c>
      <c r="B8" s="155"/>
      <c r="C8" s="3" t="s">
        <v>2</v>
      </c>
      <c r="D8" s="8">
        <f>SUM(D2:D7)</f>
        <v>777.15</v>
      </c>
      <c r="E8" s="79" t="s">
        <v>5</v>
      </c>
      <c r="F8" s="152"/>
      <c r="G8" s="153"/>
      <c r="H8" s="153"/>
      <c r="I8" s="154"/>
      <c r="J8" s="9"/>
    </row>
    <row r="9" spans="1:14" s="7" customFormat="1" ht="39.75" customHeight="1" x14ac:dyDescent="0.25">
      <c r="A9" s="156" t="s">
        <v>88</v>
      </c>
      <c r="B9" s="157"/>
      <c r="C9" s="3" t="s">
        <v>2</v>
      </c>
      <c r="D9" s="4">
        <v>16.260000000000002</v>
      </c>
      <c r="E9" s="5" t="s">
        <v>7</v>
      </c>
      <c r="F9" s="152"/>
      <c r="G9" s="153"/>
      <c r="H9" s="153"/>
      <c r="I9" s="154"/>
      <c r="J9" s="6" t="e">
        <f>J7/2</f>
        <v>#REF!</v>
      </c>
    </row>
    <row r="10" spans="1:14" s="17" customFormat="1" ht="55.5" customHeight="1" thickBot="1" x14ac:dyDescent="0.3">
      <c r="A10" s="12" t="s">
        <v>8</v>
      </c>
      <c r="B10" s="135" t="s">
        <v>9</v>
      </c>
      <c r="C10" s="135"/>
      <c r="D10" s="135"/>
      <c r="E10" s="135"/>
      <c r="F10" s="13" t="s">
        <v>10</v>
      </c>
      <c r="G10" s="14" t="s">
        <v>11</v>
      </c>
      <c r="H10" s="14" t="s">
        <v>12</v>
      </c>
      <c r="I10" s="15" t="s">
        <v>13</v>
      </c>
      <c r="J10" s="16"/>
    </row>
    <row r="11" spans="1:14" s="26" customFormat="1" ht="46.5" customHeight="1" thickTop="1" x14ac:dyDescent="0.25">
      <c r="A11" s="18">
        <v>1</v>
      </c>
      <c r="B11" s="131" t="s">
        <v>14</v>
      </c>
      <c r="C11" s="131"/>
      <c r="D11" s="131"/>
      <c r="E11" s="131"/>
      <c r="F11" s="19">
        <f>D4+D5+D6+D6</f>
        <v>535.9</v>
      </c>
      <c r="G11" s="20">
        <v>5295</v>
      </c>
      <c r="H11" s="21" t="s">
        <v>15</v>
      </c>
      <c r="I11" s="22">
        <f t="shared" ref="I11:I39" si="0">F11*G11</f>
        <v>2837590.5</v>
      </c>
      <c r="J11" s="23" t="e">
        <f>#REF!+D6</f>
        <v>#REF!</v>
      </c>
      <c r="K11" s="24"/>
      <c r="L11" s="25"/>
      <c r="M11" s="24">
        <f>8330+31</f>
        <v>8361</v>
      </c>
      <c r="N11" s="24"/>
    </row>
    <row r="12" spans="1:14" s="7" customFormat="1" ht="46.5" customHeight="1" x14ac:dyDescent="0.25">
      <c r="A12" s="18">
        <f>A11+1</f>
        <v>2</v>
      </c>
      <c r="B12" s="131" t="s">
        <v>16</v>
      </c>
      <c r="C12" s="131"/>
      <c r="D12" s="131"/>
      <c r="E12" s="131"/>
      <c r="F12" s="19">
        <f>F11</f>
        <v>535.9</v>
      </c>
      <c r="G12" s="20">
        <f>480*3</f>
        <v>1440</v>
      </c>
      <c r="H12" s="21" t="s">
        <v>15</v>
      </c>
      <c r="I12" s="22">
        <f t="shared" si="0"/>
        <v>771696</v>
      </c>
      <c r="J12" s="6"/>
      <c r="K12" s="27"/>
      <c r="L12" s="28"/>
      <c r="M12" s="27"/>
      <c r="N12" s="24"/>
    </row>
    <row r="13" spans="1:14" s="7" customFormat="1" ht="46.5" customHeight="1" x14ac:dyDescent="0.25">
      <c r="A13" s="18">
        <f>A12+1</f>
        <v>3</v>
      </c>
      <c r="B13" s="131" t="s">
        <v>90</v>
      </c>
      <c r="C13" s="131"/>
      <c r="D13" s="131"/>
      <c r="E13" s="131"/>
      <c r="F13" s="19">
        <f>F11</f>
        <v>535.9</v>
      </c>
      <c r="G13" s="20">
        <f>300*3</f>
        <v>900</v>
      </c>
      <c r="H13" s="21" t="s">
        <v>15</v>
      </c>
      <c r="I13" s="22">
        <f t="shared" si="0"/>
        <v>482310</v>
      </c>
      <c r="J13" s="6"/>
      <c r="K13" s="27"/>
      <c r="L13" s="28"/>
      <c r="M13" s="27"/>
      <c r="N13" s="24"/>
    </row>
    <row r="14" spans="1:14" s="7" customFormat="1" ht="45.75" customHeight="1" x14ac:dyDescent="0.25">
      <c r="A14" s="18">
        <f>A13+1</f>
        <v>4</v>
      </c>
      <c r="B14" s="136" t="s">
        <v>17</v>
      </c>
      <c r="C14" s="136"/>
      <c r="D14" s="136"/>
      <c r="E14" s="136"/>
      <c r="F14" s="19"/>
      <c r="G14" s="21"/>
      <c r="H14" s="21"/>
      <c r="I14" s="22">
        <f t="shared" si="0"/>
        <v>0</v>
      </c>
      <c r="J14" s="29"/>
      <c r="K14" s="27"/>
      <c r="L14" s="28"/>
      <c r="M14" s="27">
        <v>8361</v>
      </c>
      <c r="N14" s="24"/>
    </row>
    <row r="15" spans="1:14" s="7" customFormat="1" ht="52.5" customHeight="1" x14ac:dyDescent="0.25">
      <c r="A15" s="18"/>
      <c r="B15" s="137" t="s">
        <v>18</v>
      </c>
      <c r="C15" s="138"/>
      <c r="D15" s="138"/>
      <c r="E15" s="139"/>
      <c r="F15" s="19">
        <f>D5</f>
        <v>229</v>
      </c>
      <c r="G15" s="20">
        <v>10655</v>
      </c>
      <c r="H15" s="21" t="s">
        <v>15</v>
      </c>
      <c r="I15" s="22">
        <f t="shared" si="0"/>
        <v>2439995</v>
      </c>
      <c r="J15" s="29"/>
      <c r="K15" s="27">
        <f>4330*40%</f>
        <v>1732</v>
      </c>
      <c r="L15" s="28" t="e">
        <f>#REF!+D6</f>
        <v>#REF!</v>
      </c>
      <c r="M15" s="27">
        <f>(M14*40%)+M14</f>
        <v>11705.4</v>
      </c>
      <c r="N15" s="24"/>
    </row>
    <row r="16" spans="1:14" s="7" customFormat="1" ht="45.75" customHeight="1" x14ac:dyDescent="0.25">
      <c r="A16" s="18"/>
      <c r="B16" s="130" t="s">
        <v>19</v>
      </c>
      <c r="C16" s="130"/>
      <c r="D16" s="130"/>
      <c r="E16" s="130"/>
      <c r="F16" s="19">
        <f>D4</f>
        <v>282.38</v>
      </c>
      <c r="G16" s="20">
        <v>6925.75</v>
      </c>
      <c r="H16" s="21" t="s">
        <v>15</v>
      </c>
      <c r="I16" s="22">
        <f t="shared" si="0"/>
        <v>1955693.2849999999</v>
      </c>
      <c r="J16" s="29"/>
      <c r="K16" s="27"/>
      <c r="L16" s="28"/>
      <c r="M16" s="27"/>
      <c r="N16" s="24"/>
    </row>
    <row r="17" spans="1:20" s="7" customFormat="1" ht="36.75" customHeight="1" x14ac:dyDescent="0.25">
      <c r="A17" s="18"/>
      <c r="B17" s="131" t="s">
        <v>20</v>
      </c>
      <c r="C17" s="131"/>
      <c r="D17" s="131"/>
      <c r="E17" s="131"/>
      <c r="F17" s="19">
        <f>D7</f>
        <v>253.51</v>
      </c>
      <c r="G17" s="20">
        <f>G15+37</f>
        <v>10692</v>
      </c>
      <c r="H17" s="21" t="s">
        <v>15</v>
      </c>
      <c r="I17" s="22">
        <f t="shared" si="0"/>
        <v>2710528.92</v>
      </c>
      <c r="J17" s="29"/>
      <c r="K17" s="27">
        <f>G15*65%</f>
        <v>6925.75</v>
      </c>
      <c r="L17" s="28"/>
      <c r="M17" s="27"/>
      <c r="N17" s="24"/>
    </row>
    <row r="18" spans="1:20" s="7" customFormat="1" ht="36.75" customHeight="1" x14ac:dyDescent="0.25">
      <c r="A18" s="18"/>
      <c r="B18" s="123" t="s">
        <v>21</v>
      </c>
      <c r="C18" s="123"/>
      <c r="D18" s="123"/>
      <c r="E18" s="123"/>
      <c r="F18" s="19">
        <f>D6*2</f>
        <v>24.52</v>
      </c>
      <c r="G18" s="20">
        <f>G16</f>
        <v>6925.75</v>
      </c>
      <c r="H18" s="21" t="s">
        <v>15</v>
      </c>
      <c r="I18" s="22">
        <f t="shared" si="0"/>
        <v>169819.38999999998</v>
      </c>
      <c r="J18" s="29"/>
      <c r="K18" s="27">
        <f>G17+37</f>
        <v>10729</v>
      </c>
      <c r="L18" s="28"/>
      <c r="M18" s="27"/>
      <c r="N18" s="24"/>
    </row>
    <row r="19" spans="1:20" s="7" customFormat="1" ht="36.75" customHeight="1" x14ac:dyDescent="0.25">
      <c r="A19" s="18"/>
      <c r="B19" s="123" t="s">
        <v>22</v>
      </c>
      <c r="C19" s="123"/>
      <c r="D19" s="123"/>
      <c r="E19" s="123"/>
      <c r="F19" s="19">
        <f>D9*2</f>
        <v>32.520000000000003</v>
      </c>
      <c r="G19" s="20">
        <v>6973.85</v>
      </c>
      <c r="H19" s="21" t="s">
        <v>15</v>
      </c>
      <c r="I19" s="22">
        <f t="shared" si="0"/>
        <v>226789.60200000004</v>
      </c>
      <c r="J19" s="29"/>
      <c r="K19" s="27">
        <f>K18*65%</f>
        <v>6973.85</v>
      </c>
      <c r="L19" s="28"/>
      <c r="M19" s="27"/>
      <c r="N19" s="24"/>
    </row>
    <row r="20" spans="1:20" s="7" customFormat="1" ht="43.5" customHeight="1" x14ac:dyDescent="0.25">
      <c r="A20" s="18">
        <f>A14+1</f>
        <v>5</v>
      </c>
      <c r="B20" s="123" t="s">
        <v>96</v>
      </c>
      <c r="C20" s="123"/>
      <c r="D20" s="123"/>
      <c r="E20" s="123"/>
      <c r="F20" s="19">
        <f>D4</f>
        <v>282.38</v>
      </c>
      <c r="G20" s="20">
        <f>2.8*615</f>
        <v>1722</v>
      </c>
      <c r="H20" s="21" t="s">
        <v>15</v>
      </c>
      <c r="I20" s="22">
        <f t="shared" si="0"/>
        <v>486258.36</v>
      </c>
      <c r="J20" s="29"/>
      <c r="K20" s="27">
        <f>K19*65%</f>
        <v>4533.0025000000005</v>
      </c>
      <c r="L20" s="28"/>
      <c r="M20" s="27"/>
      <c r="N20" s="24"/>
    </row>
    <row r="21" spans="1:20" s="7" customFormat="1" ht="33.75" customHeight="1" x14ac:dyDescent="0.25">
      <c r="A21" s="18">
        <f>A20+1</f>
        <v>6</v>
      </c>
      <c r="B21" s="131" t="s">
        <v>23</v>
      </c>
      <c r="C21" s="131"/>
      <c r="D21" s="131"/>
      <c r="E21" s="131"/>
      <c r="F21" s="19">
        <f>F11</f>
        <v>535.9</v>
      </c>
      <c r="G21" s="19">
        <v>1765</v>
      </c>
      <c r="H21" s="21" t="s">
        <v>15</v>
      </c>
      <c r="I21" s="22">
        <f t="shared" si="0"/>
        <v>945863.5</v>
      </c>
      <c r="J21" s="11"/>
      <c r="K21" s="27">
        <f>615*2.8</f>
        <v>1722</v>
      </c>
      <c r="L21" s="28"/>
      <c r="M21" s="27"/>
      <c r="N21" s="24"/>
    </row>
    <row r="22" spans="1:20" s="7" customFormat="1" ht="30.75" customHeight="1" x14ac:dyDescent="0.25">
      <c r="A22" s="18">
        <f t="shared" ref="A22:A27" si="1">A21+1</f>
        <v>7</v>
      </c>
      <c r="B22" s="119" t="s">
        <v>24</v>
      </c>
      <c r="C22" s="120"/>
      <c r="D22" s="120"/>
      <c r="E22" s="121"/>
      <c r="F22" s="19">
        <f>F21</f>
        <v>535.9</v>
      </c>
      <c r="G22" s="19">
        <v>120</v>
      </c>
      <c r="H22" s="21" t="s">
        <v>15</v>
      </c>
      <c r="I22" s="22">
        <f t="shared" si="0"/>
        <v>64308</v>
      </c>
      <c r="J22" s="6"/>
      <c r="K22" s="27"/>
      <c r="L22" s="28"/>
      <c r="M22" s="27"/>
      <c r="N22" s="24"/>
      <c r="T22" s="7">
        <f>4840*65/100</f>
        <v>3146</v>
      </c>
    </row>
    <row r="23" spans="1:20" s="7" customFormat="1" ht="33.75" customHeight="1" x14ac:dyDescent="0.25">
      <c r="A23" s="18">
        <f t="shared" si="1"/>
        <v>8</v>
      </c>
      <c r="B23" s="131" t="s">
        <v>25</v>
      </c>
      <c r="C23" s="131"/>
      <c r="D23" s="131"/>
      <c r="E23" s="131"/>
      <c r="F23" s="19">
        <v>386.01</v>
      </c>
      <c r="G23" s="19">
        <v>1660</v>
      </c>
      <c r="H23" s="21" t="s">
        <v>15</v>
      </c>
      <c r="I23" s="22">
        <f t="shared" si="0"/>
        <v>640776.6</v>
      </c>
      <c r="J23" s="11"/>
      <c r="K23" s="27"/>
      <c r="L23" s="28"/>
      <c r="M23" s="27"/>
      <c r="N23" s="24"/>
    </row>
    <row r="24" spans="1:20" s="7" customFormat="1" ht="33.75" customHeight="1" x14ac:dyDescent="0.25">
      <c r="A24" s="18">
        <f t="shared" si="1"/>
        <v>9</v>
      </c>
      <c r="B24" s="132" t="s">
        <v>26</v>
      </c>
      <c r="C24" s="133"/>
      <c r="D24" s="133"/>
      <c r="E24" s="134"/>
      <c r="F24" s="19">
        <f>F22</f>
        <v>535.9</v>
      </c>
      <c r="G24" s="19">
        <v>394</v>
      </c>
      <c r="H24" s="21" t="s">
        <v>15</v>
      </c>
      <c r="I24" s="22">
        <f t="shared" si="0"/>
        <v>211144.59999999998</v>
      </c>
      <c r="J24" s="11"/>
      <c r="K24" s="27"/>
      <c r="L24" s="28"/>
      <c r="M24" s="27"/>
      <c r="N24" s="24"/>
    </row>
    <row r="25" spans="1:20" s="7" customFormat="1" ht="33.75" customHeight="1" x14ac:dyDescent="0.25">
      <c r="A25" s="18">
        <f t="shared" si="1"/>
        <v>10</v>
      </c>
      <c r="B25" s="131" t="s">
        <v>27</v>
      </c>
      <c r="C25" s="131"/>
      <c r="D25" s="131"/>
      <c r="E25" s="131"/>
      <c r="F25" s="30">
        <v>394.71</v>
      </c>
      <c r="G25" s="19">
        <v>555</v>
      </c>
      <c r="H25" s="21" t="s">
        <v>15</v>
      </c>
      <c r="I25" s="22">
        <f t="shared" si="0"/>
        <v>219064.05</v>
      </c>
      <c r="J25" s="6"/>
      <c r="K25" s="27"/>
      <c r="L25" s="28"/>
      <c r="M25" s="27"/>
      <c r="N25" s="24"/>
    </row>
    <row r="26" spans="1:20" s="7" customFormat="1" ht="33.75" customHeight="1" x14ac:dyDescent="0.25">
      <c r="A26" s="18">
        <f t="shared" si="1"/>
        <v>11</v>
      </c>
      <c r="B26" s="131" t="s">
        <v>28</v>
      </c>
      <c r="C26" s="131"/>
      <c r="D26" s="131"/>
      <c r="E26" s="131"/>
      <c r="F26" s="30">
        <f>F25</f>
        <v>394.71</v>
      </c>
      <c r="G26" s="19">
        <v>883</v>
      </c>
      <c r="H26" s="21" t="s">
        <v>15</v>
      </c>
      <c r="I26" s="22">
        <f t="shared" si="0"/>
        <v>348528.93</v>
      </c>
      <c r="J26" s="6"/>
      <c r="K26" s="27"/>
      <c r="L26" s="28"/>
      <c r="M26" s="27"/>
      <c r="N26" s="24"/>
    </row>
    <row r="27" spans="1:20" s="7" customFormat="1" ht="41.25" customHeight="1" x14ac:dyDescent="0.25">
      <c r="A27" s="18">
        <f t="shared" si="1"/>
        <v>12</v>
      </c>
      <c r="B27" s="131" t="s">
        <v>29</v>
      </c>
      <c r="C27" s="131"/>
      <c r="D27" s="131"/>
      <c r="E27" s="131"/>
      <c r="F27" s="19">
        <v>789.41</v>
      </c>
      <c r="G27" s="19">
        <v>515</v>
      </c>
      <c r="H27" s="21" t="s">
        <v>15</v>
      </c>
      <c r="I27" s="22">
        <f t="shared" si="0"/>
        <v>406546.14999999997</v>
      </c>
      <c r="J27" s="6"/>
      <c r="K27" s="27"/>
      <c r="L27" s="28"/>
      <c r="M27" s="27"/>
      <c r="N27" s="24"/>
    </row>
    <row r="28" spans="1:20" s="7" customFormat="1" ht="41.25" customHeight="1" x14ac:dyDescent="0.25">
      <c r="A28" s="31"/>
      <c r="B28" s="131" t="s">
        <v>30</v>
      </c>
      <c r="C28" s="131"/>
      <c r="D28" s="131"/>
      <c r="E28" s="131"/>
      <c r="F28" s="19">
        <f>F27</f>
        <v>789.41</v>
      </c>
      <c r="G28" s="19">
        <v>395</v>
      </c>
      <c r="H28" s="21" t="s">
        <v>15</v>
      </c>
      <c r="I28" s="22">
        <f t="shared" si="0"/>
        <v>311816.95</v>
      </c>
      <c r="J28" s="11"/>
      <c r="K28" s="27"/>
      <c r="L28" s="28"/>
      <c r="M28" s="27"/>
      <c r="N28" s="24"/>
    </row>
    <row r="29" spans="1:20" s="7" customFormat="1" ht="41.25" customHeight="1" x14ac:dyDescent="0.25">
      <c r="A29" s="31"/>
      <c r="B29" s="131" t="s">
        <v>31</v>
      </c>
      <c r="C29" s="131"/>
      <c r="D29" s="131"/>
      <c r="E29" s="131"/>
      <c r="F29" s="19">
        <f>F28</f>
        <v>789.41</v>
      </c>
      <c r="G29" s="19">
        <v>920</v>
      </c>
      <c r="H29" s="21" t="s">
        <v>15</v>
      </c>
      <c r="I29" s="22">
        <f t="shared" si="0"/>
        <v>726257.2</v>
      </c>
      <c r="J29" s="6"/>
      <c r="K29" s="27"/>
      <c r="L29" s="28"/>
      <c r="M29" s="27"/>
      <c r="N29" s="24"/>
    </row>
    <row r="30" spans="1:20" s="7" customFormat="1" ht="51.75" customHeight="1" x14ac:dyDescent="0.25">
      <c r="A30" s="18">
        <f>A27+1</f>
        <v>13</v>
      </c>
      <c r="B30" s="130" t="s">
        <v>32</v>
      </c>
      <c r="C30" s="130"/>
      <c r="D30" s="130"/>
      <c r="E30" s="130"/>
      <c r="F30" s="19">
        <f>F28</f>
        <v>789.41</v>
      </c>
      <c r="G30" s="19">
        <v>1680</v>
      </c>
      <c r="H30" s="21" t="s">
        <v>15</v>
      </c>
      <c r="I30" s="22">
        <f t="shared" si="0"/>
        <v>1326208.8</v>
      </c>
      <c r="J30" s="11"/>
      <c r="K30" s="27"/>
      <c r="L30" s="28"/>
      <c r="M30" s="27"/>
      <c r="N30" s="24"/>
    </row>
    <row r="31" spans="1:20" s="7" customFormat="1" ht="54.75" customHeight="1" x14ac:dyDescent="0.25">
      <c r="A31" s="18">
        <f>A30+1</f>
        <v>14</v>
      </c>
      <c r="B31" s="130" t="s">
        <v>33</v>
      </c>
      <c r="C31" s="130"/>
      <c r="D31" s="130"/>
      <c r="E31" s="130"/>
      <c r="F31" s="19">
        <f>F30</f>
        <v>789.41</v>
      </c>
      <c r="G31" s="19">
        <v>197</v>
      </c>
      <c r="H31" s="21" t="s">
        <v>15</v>
      </c>
      <c r="I31" s="22">
        <f t="shared" si="0"/>
        <v>155513.76999999999</v>
      </c>
      <c r="J31" s="6"/>
      <c r="K31" s="27"/>
      <c r="L31" s="28"/>
      <c r="M31" s="27"/>
      <c r="N31" s="24"/>
    </row>
    <row r="32" spans="1:20" s="7" customFormat="1" ht="30" customHeight="1" x14ac:dyDescent="0.25">
      <c r="A32" s="31"/>
      <c r="B32" s="112" t="s">
        <v>34</v>
      </c>
      <c r="C32" s="112"/>
      <c r="D32" s="112"/>
      <c r="E32" s="112"/>
      <c r="F32" s="112"/>
      <c r="G32" s="112"/>
      <c r="H32" s="112"/>
      <c r="I32" s="32">
        <f>SUM(I11:I31)</f>
        <v>17436709.606999997</v>
      </c>
      <c r="J32" s="6"/>
      <c r="K32" s="27"/>
      <c r="L32" s="28"/>
      <c r="M32" s="27"/>
      <c r="N32" s="24"/>
    </row>
    <row r="33" spans="1:14" s="7" customFormat="1" ht="51" customHeight="1" x14ac:dyDescent="0.25">
      <c r="A33" s="18">
        <f>A31+1</f>
        <v>15</v>
      </c>
      <c r="B33" s="130" t="s">
        <v>35</v>
      </c>
      <c r="C33" s="130"/>
      <c r="D33" s="130"/>
      <c r="E33" s="130"/>
      <c r="F33" s="19">
        <f>F31</f>
        <v>789.41</v>
      </c>
      <c r="G33" s="20">
        <v>795</v>
      </c>
      <c r="H33" s="21" t="s">
        <v>15</v>
      </c>
      <c r="I33" s="22">
        <f t="shared" si="0"/>
        <v>627580.94999999995</v>
      </c>
      <c r="J33" s="33"/>
      <c r="K33" s="27"/>
      <c r="L33" s="34"/>
      <c r="M33" s="27" t="e">
        <f>SUM(#REF!)</f>
        <v>#REF!</v>
      </c>
      <c r="N33" s="24"/>
    </row>
    <row r="34" spans="1:14" s="7" customFormat="1" ht="36.75" customHeight="1" x14ac:dyDescent="0.25">
      <c r="A34" s="18"/>
      <c r="B34" s="130" t="s">
        <v>36</v>
      </c>
      <c r="C34" s="130"/>
      <c r="D34" s="130"/>
      <c r="E34" s="130"/>
      <c r="F34" s="19">
        <f>F33</f>
        <v>789.41</v>
      </c>
      <c r="G34" s="20">
        <v>245</v>
      </c>
      <c r="H34" s="21" t="s">
        <v>15</v>
      </c>
      <c r="I34" s="22">
        <f t="shared" si="0"/>
        <v>193405.44999999998</v>
      </c>
      <c r="J34" s="33">
        <f>D4+D6</f>
        <v>294.64</v>
      </c>
      <c r="K34" s="27"/>
      <c r="L34" s="34"/>
      <c r="N34" s="24"/>
    </row>
    <row r="35" spans="1:14" s="7" customFormat="1" ht="36.75" customHeight="1" x14ac:dyDescent="0.25">
      <c r="A35" s="18"/>
      <c r="B35" s="130" t="s">
        <v>37</v>
      </c>
      <c r="C35" s="130"/>
      <c r="D35" s="130"/>
      <c r="E35" s="130"/>
      <c r="F35" s="19">
        <f>F34</f>
        <v>789.41</v>
      </c>
      <c r="G35" s="20">
        <v>705</v>
      </c>
      <c r="H35" s="21" t="s">
        <v>15</v>
      </c>
      <c r="I35" s="22">
        <f t="shared" si="0"/>
        <v>556534.04999999993</v>
      </c>
      <c r="J35" s="33">
        <f>J34*80/100</f>
        <v>235.71199999999996</v>
      </c>
      <c r="K35" s="27"/>
      <c r="L35" s="34"/>
      <c r="N35" s="24"/>
    </row>
    <row r="36" spans="1:14" s="7" customFormat="1" ht="36.75" customHeight="1" x14ac:dyDescent="0.25">
      <c r="A36" s="18">
        <f>A33+1</f>
        <v>16</v>
      </c>
      <c r="B36" s="131" t="s">
        <v>38</v>
      </c>
      <c r="C36" s="131"/>
      <c r="D36" s="131"/>
      <c r="E36" s="131"/>
      <c r="F36" s="19">
        <v>101.8</v>
      </c>
      <c r="G36" s="21">
        <v>1120</v>
      </c>
      <c r="H36" s="21" t="s">
        <v>39</v>
      </c>
      <c r="I36" s="22">
        <f t="shared" si="0"/>
        <v>114016</v>
      </c>
      <c r="J36" s="33">
        <f>10*2+4.8+11.33*2</f>
        <v>47.46</v>
      </c>
      <c r="K36" s="27"/>
      <c r="L36" s="34"/>
      <c r="N36" s="24"/>
    </row>
    <row r="37" spans="1:14" s="7" customFormat="1" ht="36.75" customHeight="1" x14ac:dyDescent="0.25">
      <c r="A37" s="18">
        <f t="shared" ref="A37:A72" si="2">A36+1</f>
        <v>17</v>
      </c>
      <c r="B37" s="122" t="s">
        <v>40</v>
      </c>
      <c r="C37" s="122"/>
      <c r="D37" s="122"/>
      <c r="E37" s="122"/>
      <c r="F37" s="78">
        <v>6</v>
      </c>
      <c r="G37" s="20">
        <v>15200</v>
      </c>
      <c r="H37" s="35" t="s">
        <v>41</v>
      </c>
      <c r="I37" s="22">
        <f t="shared" si="0"/>
        <v>91200</v>
      </c>
      <c r="J37" s="33"/>
      <c r="K37" s="27">
        <f>G37*40%</f>
        <v>6080</v>
      </c>
      <c r="L37" s="34"/>
      <c r="N37" s="24"/>
    </row>
    <row r="38" spans="1:14" s="7" customFormat="1" ht="36.75" customHeight="1" x14ac:dyDescent="0.25">
      <c r="A38" s="18">
        <f t="shared" si="2"/>
        <v>18</v>
      </c>
      <c r="B38" s="122" t="s">
        <v>91</v>
      </c>
      <c r="C38" s="122"/>
      <c r="D38" s="122"/>
      <c r="E38" s="122"/>
      <c r="F38" s="78">
        <v>500</v>
      </c>
      <c r="G38" s="20">
        <v>779</v>
      </c>
      <c r="H38" s="21" t="s">
        <v>15</v>
      </c>
      <c r="I38" s="22">
        <f t="shared" si="0"/>
        <v>389500</v>
      </c>
      <c r="J38" s="33"/>
      <c r="K38" s="27">
        <f>K36+G36</f>
        <v>1120</v>
      </c>
      <c r="L38" s="34"/>
      <c r="N38" s="24"/>
    </row>
    <row r="39" spans="1:14" s="7" customFormat="1" ht="36.75" customHeight="1" x14ac:dyDescent="0.25">
      <c r="A39" s="18">
        <f t="shared" si="2"/>
        <v>19</v>
      </c>
      <c r="B39" s="122" t="s">
        <v>81</v>
      </c>
      <c r="C39" s="122"/>
      <c r="D39" s="122"/>
      <c r="E39" s="122"/>
      <c r="F39" s="78">
        <v>200</v>
      </c>
      <c r="G39" s="20">
        <v>6955</v>
      </c>
      <c r="H39" s="21" t="s">
        <v>39</v>
      </c>
      <c r="I39" s="22">
        <f t="shared" si="0"/>
        <v>1391000</v>
      </c>
      <c r="J39" s="33"/>
      <c r="K39" s="27">
        <f>K37+G37</f>
        <v>21280</v>
      </c>
      <c r="L39" s="34"/>
      <c r="N39" s="24"/>
    </row>
    <row r="40" spans="1:14" s="7" customFormat="1" ht="36.75" customHeight="1" x14ac:dyDescent="0.25">
      <c r="A40" s="18">
        <f t="shared" si="2"/>
        <v>20</v>
      </c>
      <c r="B40" s="109" t="s">
        <v>42</v>
      </c>
      <c r="C40" s="110"/>
      <c r="D40" s="110"/>
      <c r="E40" s="111"/>
      <c r="F40" s="127" t="s">
        <v>43</v>
      </c>
      <c r="G40" s="128"/>
      <c r="H40" s="129"/>
      <c r="I40" s="22">
        <v>400000</v>
      </c>
      <c r="J40" s="33"/>
      <c r="K40" s="27"/>
      <c r="L40" s="34"/>
      <c r="N40" s="24"/>
    </row>
    <row r="41" spans="1:14" s="7" customFormat="1" ht="36.75" customHeight="1" x14ac:dyDescent="0.25">
      <c r="A41" s="18">
        <f t="shared" si="2"/>
        <v>21</v>
      </c>
      <c r="B41" s="119" t="s">
        <v>84</v>
      </c>
      <c r="C41" s="120"/>
      <c r="D41" s="120"/>
      <c r="E41" s="121"/>
      <c r="F41" s="127" t="s">
        <v>43</v>
      </c>
      <c r="G41" s="128"/>
      <c r="H41" s="129"/>
      <c r="I41" s="36">
        <v>1000000</v>
      </c>
      <c r="J41" s="33"/>
      <c r="K41" s="27"/>
      <c r="L41" s="34"/>
      <c r="N41" s="24"/>
    </row>
    <row r="42" spans="1:14" s="7" customFormat="1" ht="36.75" customHeight="1" x14ac:dyDescent="0.25">
      <c r="A42" s="18">
        <f t="shared" si="2"/>
        <v>22</v>
      </c>
      <c r="B42" s="123" t="s">
        <v>44</v>
      </c>
      <c r="C42" s="123"/>
      <c r="D42" s="123"/>
      <c r="E42" s="123"/>
      <c r="F42" s="93" t="s">
        <v>43</v>
      </c>
      <c r="G42" s="93"/>
      <c r="H42" s="93"/>
      <c r="I42" s="36">
        <v>500000</v>
      </c>
      <c r="J42" s="33"/>
      <c r="K42" s="27"/>
      <c r="L42" s="34"/>
      <c r="N42" s="24"/>
    </row>
    <row r="43" spans="1:14" s="7" customFormat="1" ht="36.75" customHeight="1" x14ac:dyDescent="0.25">
      <c r="A43" s="18">
        <f t="shared" si="2"/>
        <v>23</v>
      </c>
      <c r="B43" s="119" t="s">
        <v>45</v>
      </c>
      <c r="C43" s="120"/>
      <c r="D43" s="120"/>
      <c r="E43" s="121"/>
      <c r="F43" s="93" t="s">
        <v>43</v>
      </c>
      <c r="G43" s="93"/>
      <c r="H43" s="93"/>
      <c r="I43" s="36">
        <v>100000</v>
      </c>
      <c r="J43" s="33"/>
      <c r="K43" s="27"/>
      <c r="L43" s="34"/>
      <c r="N43" s="24"/>
    </row>
    <row r="44" spans="1:14" s="7" customFormat="1" ht="36.75" customHeight="1" x14ac:dyDescent="0.25">
      <c r="A44" s="18">
        <f t="shared" si="2"/>
        <v>24</v>
      </c>
      <c r="B44" s="119" t="s">
        <v>46</v>
      </c>
      <c r="C44" s="120"/>
      <c r="D44" s="120"/>
      <c r="E44" s="121"/>
      <c r="F44" s="93" t="s">
        <v>43</v>
      </c>
      <c r="G44" s="93"/>
      <c r="H44" s="93"/>
      <c r="I44" s="36">
        <v>75000</v>
      </c>
      <c r="J44" s="33"/>
      <c r="K44" s="27"/>
      <c r="L44" s="34"/>
      <c r="N44" s="24"/>
    </row>
    <row r="45" spans="1:14" s="7" customFormat="1" ht="36.75" customHeight="1" x14ac:dyDescent="0.25">
      <c r="A45" s="18">
        <f t="shared" si="2"/>
        <v>25</v>
      </c>
      <c r="B45" s="119" t="s">
        <v>47</v>
      </c>
      <c r="C45" s="120"/>
      <c r="D45" s="120"/>
      <c r="E45" s="121"/>
      <c r="F45" s="93" t="s">
        <v>43</v>
      </c>
      <c r="G45" s="93"/>
      <c r="H45" s="93"/>
      <c r="I45" s="36">
        <v>100000</v>
      </c>
      <c r="J45" s="33"/>
      <c r="K45" s="27"/>
      <c r="L45" s="34"/>
      <c r="N45" s="24"/>
    </row>
    <row r="46" spans="1:14" s="7" customFormat="1" ht="36.75" customHeight="1" x14ac:dyDescent="0.25">
      <c r="A46" s="18">
        <f t="shared" si="2"/>
        <v>26</v>
      </c>
      <c r="B46" s="119" t="s">
        <v>48</v>
      </c>
      <c r="C46" s="120"/>
      <c r="D46" s="120"/>
      <c r="E46" s="121"/>
      <c r="F46" s="93" t="s">
        <v>43</v>
      </c>
      <c r="G46" s="93"/>
      <c r="H46" s="93"/>
      <c r="I46" s="36">
        <v>100000</v>
      </c>
      <c r="J46" s="33"/>
      <c r="K46" s="27"/>
      <c r="L46" s="34"/>
      <c r="N46" s="24"/>
    </row>
    <row r="47" spans="1:14" s="7" customFormat="1" ht="36.75" customHeight="1" x14ac:dyDescent="0.25">
      <c r="A47" s="18">
        <f t="shared" si="2"/>
        <v>27</v>
      </c>
      <c r="B47" s="124" t="s">
        <v>83</v>
      </c>
      <c r="C47" s="125"/>
      <c r="D47" s="125"/>
      <c r="E47" s="126"/>
      <c r="F47" s="93" t="s">
        <v>43</v>
      </c>
      <c r="G47" s="93"/>
      <c r="H47" s="93"/>
      <c r="I47" s="36">
        <v>1000000</v>
      </c>
      <c r="J47" s="33"/>
      <c r="K47" s="27"/>
      <c r="L47" s="34"/>
      <c r="N47" s="24"/>
    </row>
    <row r="48" spans="1:14" s="7" customFormat="1" ht="36.75" customHeight="1" x14ac:dyDescent="0.25">
      <c r="A48" s="18">
        <f t="shared" si="2"/>
        <v>28</v>
      </c>
      <c r="B48" s="123" t="s">
        <v>49</v>
      </c>
      <c r="C48" s="123"/>
      <c r="D48" s="123"/>
      <c r="E48" s="123"/>
      <c r="F48" s="93" t="s">
        <v>43</v>
      </c>
      <c r="G48" s="93"/>
      <c r="H48" s="93"/>
      <c r="I48" s="36">
        <v>500000</v>
      </c>
      <c r="J48" s="33"/>
      <c r="K48" s="27"/>
      <c r="L48" s="34" t="e">
        <f>#REF!*1/100</f>
        <v>#REF!</v>
      </c>
      <c r="N48" s="24"/>
    </row>
    <row r="49" spans="1:21" s="7" customFormat="1" ht="36.75" customHeight="1" x14ac:dyDescent="0.25">
      <c r="A49" s="18">
        <f t="shared" si="2"/>
        <v>29</v>
      </c>
      <c r="B49" s="94" t="s">
        <v>50</v>
      </c>
      <c r="C49" s="94"/>
      <c r="D49" s="94"/>
      <c r="E49" s="94"/>
      <c r="F49" s="93" t="s">
        <v>43</v>
      </c>
      <c r="G49" s="93"/>
      <c r="H49" s="93"/>
      <c r="I49" s="36">
        <v>500000</v>
      </c>
      <c r="J49" s="33"/>
      <c r="K49" s="27"/>
      <c r="L49" s="34" t="e">
        <f>#REF!*5/100</f>
        <v>#REF!</v>
      </c>
      <c r="N49" s="24"/>
    </row>
    <row r="50" spans="1:21" s="7" customFormat="1" ht="38.25" customHeight="1" x14ac:dyDescent="0.25">
      <c r="A50" s="18">
        <f t="shared" si="2"/>
        <v>30</v>
      </c>
      <c r="B50" s="123" t="s">
        <v>51</v>
      </c>
      <c r="C50" s="123"/>
      <c r="D50" s="123"/>
      <c r="E50" s="123"/>
      <c r="F50" s="93" t="s">
        <v>43</v>
      </c>
      <c r="G50" s="93"/>
      <c r="H50" s="93"/>
      <c r="I50" s="36">
        <v>100000</v>
      </c>
      <c r="J50" s="6"/>
      <c r="L50" s="34"/>
      <c r="N50" s="24"/>
    </row>
    <row r="51" spans="1:21" s="7" customFormat="1" ht="38.25" customHeight="1" x14ac:dyDescent="0.25">
      <c r="A51" s="18">
        <f t="shared" si="2"/>
        <v>31</v>
      </c>
      <c r="B51" s="119" t="s">
        <v>52</v>
      </c>
      <c r="C51" s="120"/>
      <c r="D51" s="120"/>
      <c r="E51" s="121"/>
      <c r="F51" s="93" t="s">
        <v>43</v>
      </c>
      <c r="G51" s="93"/>
      <c r="H51" s="93"/>
      <c r="I51" s="36">
        <v>200000</v>
      </c>
      <c r="J51" s="6"/>
      <c r="L51" s="34"/>
      <c r="N51" s="24"/>
    </row>
    <row r="52" spans="1:21" s="7" customFormat="1" ht="38.25" customHeight="1" x14ac:dyDescent="0.25">
      <c r="A52" s="18">
        <f t="shared" si="2"/>
        <v>32</v>
      </c>
      <c r="B52" s="119" t="s">
        <v>53</v>
      </c>
      <c r="C52" s="120"/>
      <c r="D52" s="120"/>
      <c r="E52" s="121"/>
      <c r="F52" s="93" t="s">
        <v>43</v>
      </c>
      <c r="G52" s="93"/>
      <c r="H52" s="93"/>
      <c r="I52" s="36">
        <v>100000</v>
      </c>
      <c r="J52" s="6"/>
      <c r="L52" s="34"/>
      <c r="N52" s="24"/>
    </row>
    <row r="53" spans="1:21" s="7" customFormat="1" ht="38.25" customHeight="1" x14ac:dyDescent="0.25">
      <c r="A53" s="18">
        <f t="shared" si="2"/>
        <v>33</v>
      </c>
      <c r="B53" s="119" t="s">
        <v>92</v>
      </c>
      <c r="C53" s="120"/>
      <c r="D53" s="120"/>
      <c r="E53" s="121"/>
      <c r="F53" s="93" t="s">
        <v>43</v>
      </c>
      <c r="G53" s="93"/>
      <c r="H53" s="93"/>
      <c r="I53" s="36">
        <v>100000</v>
      </c>
      <c r="J53" s="6"/>
      <c r="L53" s="34"/>
      <c r="N53" s="24"/>
    </row>
    <row r="54" spans="1:21" s="7" customFormat="1" ht="38.25" customHeight="1" x14ac:dyDescent="0.25">
      <c r="A54" s="18">
        <f t="shared" si="2"/>
        <v>34</v>
      </c>
      <c r="B54" s="119" t="s">
        <v>82</v>
      </c>
      <c r="C54" s="120"/>
      <c r="D54" s="120"/>
      <c r="E54" s="121"/>
      <c r="F54" s="93" t="s">
        <v>43</v>
      </c>
      <c r="G54" s="93"/>
      <c r="H54" s="93"/>
      <c r="I54" s="36">
        <v>500000</v>
      </c>
      <c r="J54" s="6"/>
      <c r="L54" s="34"/>
      <c r="N54" s="24"/>
    </row>
    <row r="55" spans="1:21" s="7" customFormat="1" ht="38.25" customHeight="1" x14ac:dyDescent="0.25">
      <c r="A55" s="18">
        <f t="shared" si="2"/>
        <v>35</v>
      </c>
      <c r="B55" s="119" t="s">
        <v>54</v>
      </c>
      <c r="C55" s="120"/>
      <c r="D55" s="120"/>
      <c r="E55" s="121"/>
      <c r="F55" s="93" t="s">
        <v>43</v>
      </c>
      <c r="G55" s="93"/>
      <c r="H55" s="93"/>
      <c r="I55" s="36">
        <v>1000000</v>
      </c>
      <c r="J55" s="6"/>
      <c r="L55" s="34"/>
      <c r="N55" s="24"/>
    </row>
    <row r="56" spans="1:21" s="7" customFormat="1" ht="38.25" customHeight="1" x14ac:dyDescent="0.25">
      <c r="A56" s="18">
        <f t="shared" si="2"/>
        <v>36</v>
      </c>
      <c r="B56" s="84" t="s">
        <v>94</v>
      </c>
      <c r="C56" s="84"/>
      <c r="D56" s="84"/>
      <c r="E56" s="84"/>
      <c r="F56" s="99" t="s">
        <v>55</v>
      </c>
      <c r="G56" s="99"/>
      <c r="H56" s="99"/>
      <c r="I56" s="36">
        <f>35790*2</f>
        <v>71580</v>
      </c>
      <c r="J56" s="6"/>
      <c r="K56" s="27"/>
      <c r="L56" s="34"/>
      <c r="N56" s="24"/>
    </row>
    <row r="57" spans="1:21" s="7" customFormat="1" ht="38.25" customHeight="1" x14ac:dyDescent="0.25">
      <c r="A57" s="18">
        <f t="shared" si="2"/>
        <v>37</v>
      </c>
      <c r="B57" s="122" t="s">
        <v>56</v>
      </c>
      <c r="C57" s="122"/>
      <c r="D57" s="122"/>
      <c r="E57" s="122"/>
      <c r="F57" s="112" t="s">
        <v>57</v>
      </c>
      <c r="G57" s="112"/>
      <c r="H57" s="112"/>
      <c r="I57" s="22">
        <f>I32*1/100</f>
        <v>174367.09606999997</v>
      </c>
      <c r="J57" s="6"/>
      <c r="K57" s="27"/>
      <c r="L57" s="34"/>
      <c r="M57" s="27"/>
      <c r="N57" s="24"/>
    </row>
    <row r="58" spans="1:21" s="7" customFormat="1" ht="38.25" customHeight="1" x14ac:dyDescent="0.25">
      <c r="A58" s="18">
        <f t="shared" si="2"/>
        <v>38</v>
      </c>
      <c r="B58" s="109" t="s">
        <v>93</v>
      </c>
      <c r="C58" s="110"/>
      <c r="D58" s="110"/>
      <c r="E58" s="111"/>
      <c r="F58" s="112" t="s">
        <v>57</v>
      </c>
      <c r="G58" s="112"/>
      <c r="H58" s="112"/>
      <c r="I58" s="22">
        <v>0</v>
      </c>
      <c r="J58" s="6"/>
      <c r="K58" s="48"/>
      <c r="L58" s="34"/>
      <c r="M58" s="27"/>
      <c r="N58" s="24"/>
    </row>
    <row r="59" spans="1:21" s="7" customFormat="1" ht="42" customHeight="1" x14ac:dyDescent="0.25">
      <c r="A59" s="18"/>
      <c r="B59" s="112" t="s">
        <v>58</v>
      </c>
      <c r="C59" s="112"/>
      <c r="D59" s="112"/>
      <c r="E59" s="112"/>
      <c r="F59" s="112"/>
      <c r="G59" s="112"/>
      <c r="H59" s="112"/>
      <c r="I59" s="32">
        <f>SUM(I32:I58)</f>
        <v>27320893.153069995</v>
      </c>
      <c r="J59" s="6"/>
      <c r="K59" s="32">
        <v>389748.01</v>
      </c>
      <c r="L59" s="34"/>
      <c r="U59" s="37" t="e">
        <f>#REF!*#REF!</f>
        <v>#REF!</v>
      </c>
    </row>
    <row r="60" spans="1:21" s="7" customFormat="1" ht="31.5" customHeight="1" x14ac:dyDescent="0.25">
      <c r="A60" s="18">
        <f>A58+1</f>
        <v>39</v>
      </c>
      <c r="B60" s="113" t="s">
        <v>59</v>
      </c>
      <c r="C60" s="114"/>
      <c r="D60" s="114"/>
      <c r="E60" s="115"/>
      <c r="F60" s="116"/>
      <c r="G60" s="117"/>
      <c r="H60" s="118"/>
      <c r="I60" s="22">
        <f>I59*12%</f>
        <v>3278507.1783683994</v>
      </c>
      <c r="J60" s="6"/>
      <c r="K60" s="22">
        <f>K59*12%</f>
        <v>46769.761200000001</v>
      </c>
      <c r="L60" s="34"/>
      <c r="N60" s="26"/>
      <c r="U60" s="37"/>
    </row>
    <row r="61" spans="1:21" s="7" customFormat="1" ht="30" customHeight="1" x14ac:dyDescent="0.25">
      <c r="A61" s="18"/>
      <c r="B61" s="112" t="s">
        <v>60</v>
      </c>
      <c r="C61" s="112"/>
      <c r="D61" s="112"/>
      <c r="E61" s="112"/>
      <c r="F61" s="112"/>
      <c r="G61" s="112"/>
      <c r="H61" s="112"/>
      <c r="I61" s="32">
        <f>SUM(I59:I60)</f>
        <v>30599400.331438396</v>
      </c>
      <c r="J61" s="6"/>
      <c r="K61" s="32">
        <f>SUM(K59:K60)</f>
        <v>436517.77120000002</v>
      </c>
      <c r="L61" s="34"/>
      <c r="N61" s="26"/>
      <c r="U61" s="37"/>
    </row>
    <row r="62" spans="1:21" s="7" customFormat="1" ht="42.75" customHeight="1" x14ac:dyDescent="0.25">
      <c r="A62" s="18">
        <f>A60+1</f>
        <v>40</v>
      </c>
      <c r="B62" s="100" t="s">
        <v>61</v>
      </c>
      <c r="C62" s="101"/>
      <c r="D62" s="101"/>
      <c r="E62" s="102"/>
      <c r="F62" s="103" t="s">
        <v>62</v>
      </c>
      <c r="G62" s="103"/>
      <c r="H62" s="103"/>
      <c r="I62" s="80">
        <f>I59*1%</f>
        <v>273208.93153069995</v>
      </c>
      <c r="J62" s="11"/>
      <c r="K62" s="38">
        <f>K61*1%</f>
        <v>4365.1777120000006</v>
      </c>
      <c r="L62" s="34"/>
      <c r="M62" s="27"/>
      <c r="N62" s="24"/>
    </row>
    <row r="63" spans="1:21" s="7" customFormat="1" ht="48" customHeight="1" x14ac:dyDescent="0.25">
      <c r="A63" s="18">
        <f>A62+1</f>
        <v>41</v>
      </c>
      <c r="B63" s="104" t="s">
        <v>101</v>
      </c>
      <c r="C63" s="105"/>
      <c r="D63" s="105"/>
      <c r="E63" s="106"/>
      <c r="F63" s="103" t="s">
        <v>62</v>
      </c>
      <c r="G63" s="103"/>
      <c r="H63" s="103"/>
      <c r="I63" s="80">
        <f>I59*1%</f>
        <v>273208.93153069995</v>
      </c>
      <c r="J63" s="6"/>
      <c r="K63" s="38">
        <f>K61*2.5%</f>
        <v>10912.944280000002</v>
      </c>
      <c r="L63" s="34"/>
      <c r="M63" s="27"/>
      <c r="N63" s="24"/>
    </row>
    <row r="64" spans="1:21" s="7" customFormat="1" ht="35.25" customHeight="1" x14ac:dyDescent="0.25">
      <c r="A64" s="18">
        <f>A63+1</f>
        <v>42</v>
      </c>
      <c r="B64" s="107" t="s">
        <v>100</v>
      </c>
      <c r="C64" s="107"/>
      <c r="D64" s="107"/>
      <c r="E64" s="107"/>
      <c r="F64" s="108" t="s">
        <v>65</v>
      </c>
      <c r="G64" s="108"/>
      <c r="H64" s="108"/>
      <c r="I64" s="81">
        <f>I59*5%</f>
        <v>1366044.6576534999</v>
      </c>
      <c r="J64" s="6"/>
      <c r="K64" s="39">
        <f>K61*7.5%</f>
        <v>32738.832839999999</v>
      </c>
      <c r="L64" s="34"/>
      <c r="M64" s="27"/>
      <c r="N64" s="24"/>
    </row>
    <row r="65" spans="1:14" s="7" customFormat="1" ht="39" customHeight="1" x14ac:dyDescent="0.25">
      <c r="A65" s="18">
        <f>A64+1</f>
        <v>43</v>
      </c>
      <c r="B65" s="95" t="s">
        <v>66</v>
      </c>
      <c r="C65" s="96"/>
      <c r="D65" s="96"/>
      <c r="E65" s="97"/>
      <c r="F65" s="98" t="s">
        <v>62</v>
      </c>
      <c r="G65" s="98"/>
      <c r="H65" s="98"/>
      <c r="I65" s="81">
        <v>0</v>
      </c>
      <c r="J65" s="6"/>
      <c r="K65" s="39">
        <f>K61*5%</f>
        <v>21825.888560000003</v>
      </c>
      <c r="L65" s="34"/>
      <c r="M65" s="27"/>
      <c r="N65" s="24"/>
    </row>
    <row r="66" spans="1:14" s="7" customFormat="1" ht="41.25" customHeight="1" x14ac:dyDescent="0.25">
      <c r="A66" s="18"/>
      <c r="B66" s="86" t="s">
        <v>67</v>
      </c>
      <c r="C66" s="86"/>
      <c r="D66" s="86"/>
      <c r="E66" s="86"/>
      <c r="F66" s="86"/>
      <c r="G66" s="86"/>
      <c r="H66" s="86"/>
      <c r="I66" s="32">
        <f>SUM(I61:I65)</f>
        <v>32511862.852153294</v>
      </c>
      <c r="J66" s="6"/>
      <c r="K66" s="32">
        <f>SUM(K61:K65)</f>
        <v>506360.61459199997</v>
      </c>
      <c r="L66" s="34"/>
      <c r="M66" s="40"/>
      <c r="N66" s="24"/>
    </row>
    <row r="67" spans="1:14" s="7" customFormat="1" ht="36.75" customHeight="1" x14ac:dyDescent="0.25">
      <c r="A67" s="18">
        <f>A65+1</f>
        <v>44</v>
      </c>
      <c r="B67" s="84" t="s">
        <v>68</v>
      </c>
      <c r="C67" s="84"/>
      <c r="D67" s="84"/>
      <c r="E67" s="84"/>
      <c r="F67" s="99" t="s">
        <v>97</v>
      </c>
      <c r="G67" s="99"/>
      <c r="H67" s="99"/>
      <c r="I67" s="22">
        <v>13000</v>
      </c>
      <c r="J67" s="6"/>
      <c r="K67" s="27"/>
      <c r="L67" s="34"/>
      <c r="M67" s="40"/>
      <c r="N67" s="24"/>
    </row>
    <row r="68" spans="1:14" s="7" customFormat="1" ht="36.75" customHeight="1" x14ac:dyDescent="0.25">
      <c r="A68" s="18">
        <f t="shared" si="2"/>
        <v>45</v>
      </c>
      <c r="B68" s="84" t="s">
        <v>69</v>
      </c>
      <c r="C68" s="84"/>
      <c r="D68" s="84"/>
      <c r="E68" s="84"/>
      <c r="F68" s="93" t="s">
        <v>43</v>
      </c>
      <c r="G68" s="93"/>
      <c r="H68" s="93"/>
      <c r="I68" s="22">
        <v>212000</v>
      </c>
      <c r="J68" s="6"/>
      <c r="K68" s="27"/>
      <c r="L68" s="34"/>
      <c r="M68" s="27"/>
      <c r="N68" s="24"/>
    </row>
    <row r="69" spans="1:14" s="7" customFormat="1" ht="36.75" customHeight="1" x14ac:dyDescent="0.25">
      <c r="A69" s="18">
        <f t="shared" si="2"/>
        <v>46</v>
      </c>
      <c r="B69" s="92" t="s">
        <v>70</v>
      </c>
      <c r="C69" s="92"/>
      <c r="D69" s="92"/>
      <c r="E69" s="92"/>
      <c r="F69" s="93" t="s">
        <v>43</v>
      </c>
      <c r="G69" s="93"/>
      <c r="H69" s="93"/>
      <c r="I69" s="22">
        <v>200000</v>
      </c>
      <c r="J69" s="6"/>
      <c r="K69" s="27"/>
      <c r="L69" s="34"/>
      <c r="M69" s="27"/>
      <c r="N69" s="24"/>
    </row>
    <row r="70" spans="1:14" s="7" customFormat="1" ht="36.75" customHeight="1" x14ac:dyDescent="0.25">
      <c r="A70" s="18">
        <f t="shared" si="2"/>
        <v>47</v>
      </c>
      <c r="B70" s="92" t="s">
        <v>85</v>
      </c>
      <c r="C70" s="92"/>
      <c r="D70" s="92"/>
      <c r="E70" s="92"/>
      <c r="F70" s="93" t="s">
        <v>43</v>
      </c>
      <c r="G70" s="93"/>
      <c r="H70" s="93"/>
      <c r="I70" s="22">
        <v>600000</v>
      </c>
      <c r="J70" s="6"/>
      <c r="K70" s="27"/>
      <c r="L70" s="34"/>
      <c r="M70" s="27"/>
      <c r="N70" s="24"/>
    </row>
    <row r="71" spans="1:14" s="7" customFormat="1" ht="49.5" customHeight="1" x14ac:dyDescent="0.25">
      <c r="A71" s="18">
        <f t="shared" si="2"/>
        <v>48</v>
      </c>
      <c r="B71" s="94" t="s">
        <v>71</v>
      </c>
      <c r="C71" s="94"/>
      <c r="D71" s="94"/>
      <c r="E71" s="94"/>
      <c r="F71" s="93" t="s">
        <v>43</v>
      </c>
      <c r="G71" s="93"/>
      <c r="H71" s="93"/>
      <c r="I71" s="22">
        <v>500000</v>
      </c>
      <c r="J71" s="6"/>
      <c r="K71" s="27"/>
      <c r="L71" s="34"/>
      <c r="M71" s="27"/>
      <c r="N71" s="24"/>
    </row>
    <row r="72" spans="1:14" s="7" customFormat="1" ht="42.75" customHeight="1" x14ac:dyDescent="0.25">
      <c r="A72" s="18">
        <f t="shared" si="2"/>
        <v>49</v>
      </c>
      <c r="B72" s="84" t="s">
        <v>72</v>
      </c>
      <c r="C72" s="84"/>
      <c r="D72" s="84"/>
      <c r="E72" s="84"/>
      <c r="F72" s="85" t="s">
        <v>73</v>
      </c>
      <c r="G72" s="85"/>
      <c r="H72" s="85"/>
      <c r="I72" s="22">
        <v>100000</v>
      </c>
      <c r="J72" s="6"/>
      <c r="K72" s="27"/>
      <c r="L72" s="34"/>
      <c r="M72" s="27"/>
      <c r="N72" s="24"/>
    </row>
    <row r="73" spans="1:14" s="7" customFormat="1" ht="39.75" customHeight="1" x14ac:dyDescent="0.25">
      <c r="A73" s="18"/>
      <c r="B73" s="86" t="s">
        <v>74</v>
      </c>
      <c r="C73" s="86"/>
      <c r="D73" s="86"/>
      <c r="E73" s="86"/>
      <c r="F73" s="86"/>
      <c r="G73" s="86"/>
      <c r="H73" s="86"/>
      <c r="I73" s="32">
        <f>SUM(I66:I72)</f>
        <v>34136862.852153294</v>
      </c>
      <c r="J73" s="11">
        <f>D8+D9</f>
        <v>793.41</v>
      </c>
      <c r="K73" s="27"/>
      <c r="L73" s="34"/>
      <c r="M73" s="40"/>
      <c r="N73" s="24"/>
    </row>
    <row r="74" spans="1:14" s="7" customFormat="1" ht="34.5" customHeight="1" x14ac:dyDescent="0.25">
      <c r="A74" s="87" t="s">
        <v>98</v>
      </c>
      <c r="B74" s="88"/>
      <c r="C74" s="88"/>
      <c r="D74" s="88"/>
      <c r="E74" s="89"/>
      <c r="F74" s="41" t="s">
        <v>75</v>
      </c>
      <c r="G74" s="41">
        <f>I73/100000</f>
        <v>341.36862852153291</v>
      </c>
      <c r="H74" s="42" t="s">
        <v>76</v>
      </c>
      <c r="I74" s="43"/>
      <c r="J74" s="6">
        <f>J73*10.764</f>
        <v>8540.2652399999988</v>
      </c>
      <c r="K74" s="27"/>
      <c r="L74" s="34"/>
      <c r="M74" s="40"/>
      <c r="N74" s="24"/>
    </row>
    <row r="75" spans="1:14" s="47" customFormat="1" ht="34.5" customHeight="1" x14ac:dyDescent="0.25">
      <c r="A75" s="44"/>
      <c r="B75" s="90" t="s">
        <v>86</v>
      </c>
      <c r="C75" s="91"/>
      <c r="D75" s="91"/>
      <c r="E75" s="91"/>
      <c r="F75" s="45" t="str">
        <f>F74</f>
        <v xml:space="preserve">Say Rs. </v>
      </c>
      <c r="G75" s="41">
        <f>(G74*12.5%)+G74</f>
        <v>384.03970708672455</v>
      </c>
      <c r="H75" s="46" t="str">
        <f>H74</f>
        <v>Lakhs</v>
      </c>
      <c r="I75" s="43"/>
      <c r="J75" s="47">
        <f>I73/J74</f>
        <v>3997.1665859119498</v>
      </c>
      <c r="K75" s="48">
        <f>G74*12.5%</f>
        <v>42.671078565191614</v>
      </c>
      <c r="L75" s="49">
        <f>K75+G74</f>
        <v>384.03970708672455</v>
      </c>
      <c r="M75" s="50"/>
      <c r="N75" s="24"/>
    </row>
    <row r="76" spans="1:14" s="47" customFormat="1" ht="40.5" customHeight="1" x14ac:dyDescent="0.25">
      <c r="A76" s="44"/>
      <c r="B76" s="90" t="s">
        <v>77</v>
      </c>
      <c r="C76" s="91"/>
      <c r="D76" s="91"/>
      <c r="E76" s="91"/>
      <c r="F76" s="51" t="s">
        <v>75</v>
      </c>
      <c r="G76" s="52">
        <f>G75*12.5%+G75</f>
        <v>432.04467047256514</v>
      </c>
      <c r="H76" s="53" t="s">
        <v>76</v>
      </c>
      <c r="I76" s="54"/>
      <c r="J76" s="48">
        <f>378-G74</f>
        <v>36.631371478467088</v>
      </c>
      <c r="K76" s="48">
        <f>G75*12.5%</f>
        <v>48.004963385840568</v>
      </c>
      <c r="L76" s="49">
        <f>K76+G75</f>
        <v>432.04467047256514</v>
      </c>
      <c r="M76" s="50"/>
      <c r="N76" s="24"/>
    </row>
    <row r="77" spans="1:14" s="47" customFormat="1" ht="38.1" customHeight="1" x14ac:dyDescent="0.25">
      <c r="A77" s="55"/>
      <c r="B77" s="55"/>
      <c r="C77" s="55"/>
      <c r="D77" s="55"/>
      <c r="E77" s="56">
        <f>G74-263</f>
        <v>78.368628521532912</v>
      </c>
      <c r="F77" s="55"/>
      <c r="G77" s="56"/>
      <c r="H77" s="55"/>
      <c r="I77" s="55"/>
      <c r="K77" s="48"/>
      <c r="L77" s="49"/>
      <c r="M77" s="50"/>
      <c r="N77" s="24"/>
    </row>
    <row r="78" spans="1:14" s="47" customFormat="1" ht="38.1" customHeight="1" x14ac:dyDescent="0.25">
      <c r="A78" s="55"/>
      <c r="B78" s="55"/>
      <c r="C78" s="55"/>
      <c r="D78" s="55"/>
      <c r="E78" s="55"/>
      <c r="F78" s="55"/>
      <c r="G78" s="56">
        <f>I73/8847</f>
        <v>3858.5806320959978</v>
      </c>
      <c r="H78" s="55"/>
      <c r="I78" s="55"/>
      <c r="K78" s="48"/>
      <c r="L78" s="49"/>
      <c r="M78" s="50"/>
      <c r="N78" s="24"/>
    </row>
    <row r="79" spans="1:14" s="47" customFormat="1" ht="38.1" customHeight="1" x14ac:dyDescent="0.25">
      <c r="A79" s="55"/>
      <c r="B79" s="55"/>
      <c r="C79" s="55"/>
      <c r="D79" s="55"/>
      <c r="E79" s="55"/>
      <c r="F79" s="55"/>
      <c r="G79" s="56"/>
      <c r="H79" s="55"/>
      <c r="I79" s="55"/>
      <c r="K79" s="48"/>
      <c r="L79" s="49"/>
      <c r="M79" s="50"/>
      <c r="N79" s="24"/>
    </row>
    <row r="80" spans="1:14" s="47" customFormat="1" ht="38.1" customHeight="1" x14ac:dyDescent="0.25">
      <c r="A80" s="55"/>
      <c r="B80" s="55"/>
      <c r="C80" s="55"/>
      <c r="D80" s="55"/>
      <c r="E80" s="55"/>
      <c r="F80" s="55"/>
      <c r="G80" s="56"/>
      <c r="H80" s="55"/>
      <c r="I80" s="55"/>
      <c r="K80" s="48"/>
      <c r="L80" s="49"/>
      <c r="M80" s="50"/>
      <c r="N80" s="24"/>
    </row>
    <row r="81" spans="1:17" s="47" customFormat="1" ht="38.1" customHeight="1" x14ac:dyDescent="0.25">
      <c r="A81" s="55"/>
      <c r="B81" s="55"/>
      <c r="C81" s="55"/>
      <c r="D81" s="55"/>
      <c r="E81" s="55"/>
      <c r="F81" s="55"/>
      <c r="G81" s="56"/>
      <c r="H81" s="55"/>
      <c r="I81" s="55"/>
      <c r="K81" s="48"/>
      <c r="L81" s="49"/>
      <c r="M81" s="50"/>
      <c r="N81" s="24"/>
    </row>
    <row r="82" spans="1:17" s="47" customFormat="1" ht="38.1" customHeight="1" x14ac:dyDescent="0.25">
      <c r="A82" s="55"/>
      <c r="B82" s="55"/>
      <c r="C82" s="55"/>
      <c r="D82" s="55"/>
      <c r="E82" s="55"/>
      <c r="F82" s="55"/>
      <c r="G82" s="56"/>
      <c r="H82" s="55"/>
      <c r="I82" s="55"/>
      <c r="K82" s="48"/>
      <c r="L82" s="49"/>
      <c r="M82" s="50"/>
      <c r="N82" s="24"/>
    </row>
    <row r="83" spans="1:17" s="47" customFormat="1" ht="38.1" customHeight="1" x14ac:dyDescent="0.25">
      <c r="A83" s="55"/>
      <c r="B83" s="55"/>
      <c r="C83" s="55"/>
      <c r="D83" s="55"/>
      <c r="E83" s="55"/>
      <c r="F83" s="55"/>
      <c r="G83" s="56"/>
      <c r="H83" s="55"/>
      <c r="I83" s="55"/>
      <c r="K83" s="48"/>
      <c r="L83" s="49"/>
      <c r="M83" s="50"/>
      <c r="N83" s="24"/>
    </row>
    <row r="84" spans="1:17" s="47" customFormat="1" ht="38.1" customHeight="1" x14ac:dyDescent="0.25">
      <c r="A84" s="55"/>
      <c r="B84" s="55"/>
      <c r="C84" s="55"/>
      <c r="D84" s="55"/>
      <c r="E84" s="55"/>
      <c r="F84" s="55"/>
      <c r="G84" s="56"/>
      <c r="H84" s="55"/>
      <c r="I84" s="55"/>
      <c r="K84" s="48"/>
      <c r="L84" s="49"/>
      <c r="M84" s="50"/>
      <c r="N84" s="24"/>
    </row>
    <row r="85" spans="1:17" s="47" customFormat="1" ht="38.1" customHeight="1" x14ac:dyDescent="0.25">
      <c r="A85" s="55"/>
      <c r="B85" s="55"/>
      <c r="C85" s="55"/>
      <c r="D85" s="55"/>
      <c r="E85" s="55"/>
      <c r="F85" s="55"/>
      <c r="G85" s="56"/>
      <c r="H85" s="55"/>
      <c r="I85" s="55"/>
      <c r="K85" s="48"/>
      <c r="L85" s="49"/>
      <c r="M85" s="50"/>
      <c r="N85" s="24"/>
    </row>
    <row r="86" spans="1:17" s="47" customFormat="1" ht="38.1" customHeight="1" x14ac:dyDescent="0.25">
      <c r="A86" s="55"/>
      <c r="B86" s="55"/>
      <c r="C86" s="55"/>
      <c r="D86" s="55"/>
      <c r="E86" s="55"/>
      <c r="F86" s="55"/>
      <c r="G86" s="56"/>
      <c r="H86" s="55"/>
      <c r="I86" s="55"/>
      <c r="K86" s="48"/>
      <c r="L86" s="49"/>
      <c r="M86" s="50"/>
      <c r="N86" s="24"/>
    </row>
    <row r="87" spans="1:17" s="47" customFormat="1" ht="38.1" customHeight="1" x14ac:dyDescent="0.25">
      <c r="A87" s="55"/>
      <c r="B87" s="55"/>
      <c r="C87" s="55"/>
      <c r="D87" s="55"/>
      <c r="E87" s="55"/>
      <c r="F87" s="55"/>
      <c r="G87" s="56"/>
      <c r="H87" s="55"/>
      <c r="I87" s="55"/>
      <c r="K87" s="48"/>
      <c r="L87" s="49"/>
      <c r="M87" s="50"/>
      <c r="N87" s="24"/>
    </row>
    <row r="88" spans="1:17" s="47" customFormat="1" ht="38.1" customHeight="1" x14ac:dyDescent="0.25">
      <c r="A88" s="55"/>
      <c r="B88" s="55"/>
      <c r="C88" s="55"/>
      <c r="D88" s="55"/>
      <c r="E88" s="55"/>
      <c r="F88" s="55"/>
      <c r="G88" s="56"/>
      <c r="H88" s="55"/>
      <c r="I88" s="55"/>
      <c r="K88" s="48"/>
      <c r="L88" s="49"/>
      <c r="M88" s="50"/>
      <c r="N88" s="24"/>
    </row>
    <row r="89" spans="1:17" s="47" customFormat="1" ht="38.1" customHeight="1" x14ac:dyDescent="0.25">
      <c r="A89" s="55"/>
      <c r="B89" s="55"/>
      <c r="C89" s="55"/>
      <c r="D89" s="55"/>
      <c r="E89" s="55"/>
      <c r="F89" s="55"/>
      <c r="G89" s="56"/>
      <c r="H89" s="55"/>
      <c r="I89" s="55"/>
      <c r="K89" s="48"/>
      <c r="L89" s="49"/>
      <c r="M89" s="50"/>
      <c r="N89" s="24"/>
    </row>
    <row r="90" spans="1:17" s="47" customFormat="1" ht="38.1" customHeight="1" x14ac:dyDescent="0.25">
      <c r="A90" s="55"/>
      <c r="B90" s="55"/>
      <c r="C90" s="55"/>
      <c r="D90" s="55"/>
      <c r="E90" s="55"/>
      <c r="F90" s="55"/>
      <c r="G90" s="56"/>
      <c r="H90" s="55"/>
      <c r="I90" s="55"/>
      <c r="K90" s="48"/>
      <c r="L90" s="49"/>
      <c r="M90" s="50"/>
      <c r="N90" s="24"/>
    </row>
    <row r="91" spans="1:17" s="59" customFormat="1" ht="38.1" customHeight="1" x14ac:dyDescent="0.25">
      <c r="A91" s="57"/>
      <c r="B91" s="57"/>
      <c r="C91" s="57"/>
      <c r="D91" s="57"/>
      <c r="E91" s="57"/>
      <c r="F91" s="57"/>
      <c r="G91" s="58"/>
      <c r="H91" s="57"/>
      <c r="I91" s="57"/>
      <c r="K91" s="60"/>
      <c r="L91" s="61"/>
      <c r="M91" s="62"/>
      <c r="N91" s="63"/>
    </row>
    <row r="92" spans="1:17" s="59" customFormat="1" ht="38.1" customHeight="1" x14ac:dyDescent="0.25">
      <c r="A92" s="57"/>
      <c r="B92" s="57"/>
      <c r="C92" s="57"/>
      <c r="D92" s="57"/>
      <c r="E92" s="57"/>
      <c r="F92" s="57"/>
      <c r="G92" s="58"/>
      <c r="H92" s="57"/>
      <c r="I92" s="57"/>
      <c r="K92" s="60"/>
      <c r="L92" s="61"/>
      <c r="M92" s="62"/>
      <c r="N92" s="63"/>
    </row>
    <row r="93" spans="1:17" s="66" customFormat="1" ht="38.1" customHeight="1" x14ac:dyDescent="0.25">
      <c r="A93" s="64"/>
      <c r="B93" s="64"/>
      <c r="C93" s="64"/>
      <c r="D93" s="64"/>
      <c r="E93" s="64"/>
      <c r="F93" s="64"/>
      <c r="G93" s="65"/>
      <c r="H93" s="64"/>
      <c r="I93" s="64"/>
      <c r="K93" s="67"/>
      <c r="L93" s="68"/>
      <c r="M93" s="69"/>
      <c r="N93" s="70"/>
    </row>
    <row r="94" spans="1:17" s="66" customFormat="1" ht="38.1" customHeight="1" x14ac:dyDescent="0.25">
      <c r="A94" s="64"/>
      <c r="B94" s="64"/>
      <c r="C94" s="64"/>
      <c r="D94" s="64"/>
      <c r="E94" s="64"/>
      <c r="F94" s="64"/>
      <c r="G94" s="65"/>
      <c r="H94" s="64"/>
      <c r="I94" s="64"/>
      <c r="K94" s="67"/>
      <c r="L94" s="68"/>
      <c r="M94" s="69"/>
      <c r="N94" s="70"/>
    </row>
    <row r="95" spans="1:17" x14ac:dyDescent="0.25">
      <c r="A95" s="82">
        <f>I73*10/100</f>
        <v>3413686.2852153294</v>
      </c>
      <c r="B95" s="82"/>
      <c r="C95" s="82"/>
      <c r="D95" s="82"/>
      <c r="E95" s="82"/>
      <c r="F95" s="82"/>
      <c r="G95" s="82"/>
      <c r="H95" s="82"/>
      <c r="I95" s="82"/>
      <c r="K95" s="71">
        <f t="shared" ref="K95:L99" si="3">F95</f>
        <v>0</v>
      </c>
      <c r="L95" s="72">
        <f t="shared" si="3"/>
        <v>0</v>
      </c>
      <c r="M95" s="1">
        <f>L95*K95</f>
        <v>0</v>
      </c>
      <c r="N95" s="70">
        <f t="shared" ref="N95:N112" si="4">+I95-M95</f>
        <v>0</v>
      </c>
    </row>
    <row r="96" spans="1:17" x14ac:dyDescent="0.25">
      <c r="A96" s="83"/>
      <c r="B96" s="83"/>
      <c r="C96" s="83"/>
      <c r="D96" s="83"/>
      <c r="E96" s="83"/>
      <c r="F96" s="83"/>
      <c r="G96" s="83"/>
      <c r="H96" s="83"/>
      <c r="I96" s="83"/>
      <c r="K96" s="71">
        <f t="shared" si="3"/>
        <v>0</v>
      </c>
      <c r="L96" s="72">
        <f t="shared" si="3"/>
        <v>0</v>
      </c>
      <c r="M96" s="1">
        <f>L96*K96</f>
        <v>0</v>
      </c>
      <c r="N96" s="70">
        <f t="shared" si="4"/>
        <v>0</v>
      </c>
      <c r="Q96" s="1">
        <f>2708-270</f>
        <v>2438</v>
      </c>
    </row>
    <row r="97" spans="1:14" x14ac:dyDescent="0.25">
      <c r="A97" s="83"/>
      <c r="B97" s="83"/>
      <c r="C97" s="83"/>
      <c r="D97" s="83"/>
      <c r="E97" s="83"/>
      <c r="F97" s="83"/>
      <c r="G97" s="83"/>
      <c r="H97" s="83"/>
      <c r="I97" s="83"/>
      <c r="J97" s="1">
        <f>J74/10.76</f>
        <v>793.70494795539025</v>
      </c>
      <c r="K97" s="71">
        <f t="shared" si="3"/>
        <v>0</v>
      </c>
      <c r="L97" s="72">
        <f t="shared" si="3"/>
        <v>0</v>
      </c>
      <c r="N97" s="70">
        <f t="shared" si="4"/>
        <v>0</v>
      </c>
    </row>
    <row r="98" spans="1:14" x14ac:dyDescent="0.25">
      <c r="A98" s="83"/>
      <c r="B98" s="83"/>
      <c r="C98" s="83"/>
      <c r="D98" s="83"/>
      <c r="E98" s="83"/>
      <c r="F98" s="83"/>
      <c r="G98" s="83"/>
      <c r="H98" s="83"/>
      <c r="I98" s="83"/>
      <c r="K98" s="71">
        <f t="shared" si="3"/>
        <v>0</v>
      </c>
      <c r="L98" s="72">
        <f t="shared" si="3"/>
        <v>0</v>
      </c>
      <c r="N98" s="70">
        <f t="shared" si="4"/>
        <v>0</v>
      </c>
    </row>
    <row r="99" spans="1:14" x14ac:dyDescent="0.25">
      <c r="A99" s="83"/>
      <c r="B99" s="83"/>
      <c r="C99" s="83"/>
      <c r="D99" s="83"/>
      <c r="E99" s="83"/>
      <c r="F99" s="83"/>
      <c r="G99" s="83"/>
      <c r="H99" s="83"/>
      <c r="I99" s="83"/>
      <c r="K99" s="71">
        <f t="shared" si="3"/>
        <v>0</v>
      </c>
      <c r="L99" s="72">
        <f t="shared" si="3"/>
        <v>0</v>
      </c>
      <c r="N99" s="70">
        <f t="shared" si="4"/>
        <v>0</v>
      </c>
    </row>
    <row r="100" spans="1:14" x14ac:dyDescent="0.25">
      <c r="A100" s="83"/>
      <c r="B100" s="83"/>
      <c r="C100" s="83"/>
      <c r="D100" s="83"/>
      <c r="E100" s="83"/>
      <c r="F100" s="83"/>
      <c r="G100" s="83"/>
      <c r="H100" s="83"/>
      <c r="I100" s="83"/>
      <c r="K100" s="71">
        <f>F100</f>
        <v>0</v>
      </c>
      <c r="N100" s="70">
        <f t="shared" si="4"/>
        <v>0</v>
      </c>
    </row>
    <row r="101" spans="1:14" x14ac:dyDescent="0.25">
      <c r="A101" s="83"/>
      <c r="B101" s="83"/>
      <c r="C101" s="83"/>
      <c r="D101" s="83"/>
      <c r="E101" s="83"/>
      <c r="F101" s="83"/>
      <c r="G101" s="83"/>
      <c r="H101" s="83"/>
      <c r="I101" s="83"/>
      <c r="K101" s="71">
        <f>F101</f>
        <v>0</v>
      </c>
      <c r="N101" s="70">
        <f t="shared" si="4"/>
        <v>0</v>
      </c>
    </row>
    <row r="102" spans="1:14" x14ac:dyDescent="0.25">
      <c r="A102" s="83"/>
      <c r="B102" s="83"/>
      <c r="C102" s="83"/>
      <c r="D102" s="83"/>
      <c r="E102" s="83"/>
      <c r="F102" s="83"/>
      <c r="G102" s="83"/>
      <c r="H102" s="83"/>
      <c r="I102" s="83"/>
      <c r="K102" s="71">
        <f>F102</f>
        <v>0</v>
      </c>
      <c r="N102" s="70">
        <f t="shared" si="4"/>
        <v>0</v>
      </c>
    </row>
    <row r="103" spans="1:14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K103" s="71">
        <f>F103</f>
        <v>0</v>
      </c>
      <c r="N103" s="70">
        <f t="shared" si="4"/>
        <v>0</v>
      </c>
    </row>
    <row r="104" spans="1:14" x14ac:dyDescent="0.25">
      <c r="A104" s="83"/>
      <c r="B104" s="83"/>
      <c r="C104" s="83"/>
      <c r="D104" s="83"/>
      <c r="E104" s="83"/>
      <c r="F104" s="83"/>
      <c r="G104" s="83"/>
      <c r="H104" s="83"/>
      <c r="I104" s="83"/>
      <c r="J104" s="1" t="s">
        <v>78</v>
      </c>
      <c r="K104" s="71">
        <f>F104</f>
        <v>0</v>
      </c>
      <c r="N104" s="70">
        <f t="shared" si="4"/>
        <v>0</v>
      </c>
    </row>
    <row r="105" spans="1:14" x14ac:dyDescent="0.25">
      <c r="A105" s="83"/>
      <c r="B105" s="83"/>
      <c r="C105" s="83"/>
      <c r="D105" s="83"/>
      <c r="E105" s="83"/>
      <c r="F105" s="83"/>
      <c r="G105" s="83"/>
      <c r="H105" s="83"/>
      <c r="I105" s="83"/>
      <c r="J105" s="73"/>
      <c r="N105" s="70">
        <f t="shared" si="4"/>
        <v>0</v>
      </c>
    </row>
    <row r="106" spans="1:14" x14ac:dyDescent="0.25">
      <c r="A106" s="83"/>
      <c r="B106" s="83"/>
      <c r="C106" s="83"/>
      <c r="D106" s="83"/>
      <c r="E106" s="83"/>
      <c r="F106" s="83"/>
      <c r="G106" s="83"/>
      <c r="H106" s="83"/>
      <c r="I106" s="83"/>
      <c r="N106" s="70">
        <f t="shared" si="4"/>
        <v>0</v>
      </c>
    </row>
    <row r="107" spans="1:14" x14ac:dyDescent="0.25">
      <c r="A107" s="83"/>
      <c r="B107" s="83"/>
      <c r="C107" s="83"/>
      <c r="D107" s="83"/>
      <c r="E107" s="83"/>
      <c r="F107" s="83"/>
      <c r="G107" s="83"/>
      <c r="H107" s="83"/>
      <c r="I107" s="83"/>
      <c r="N107" s="70">
        <f t="shared" si="4"/>
        <v>0</v>
      </c>
    </row>
    <row r="108" spans="1:14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N108" s="70">
        <f t="shared" si="4"/>
        <v>0</v>
      </c>
    </row>
    <row r="109" spans="1:14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N109" s="70">
        <f t="shared" si="4"/>
        <v>0</v>
      </c>
    </row>
    <row r="110" spans="1:14" x14ac:dyDescent="0.25">
      <c r="A110" s="83"/>
      <c r="B110" s="83"/>
      <c r="C110" s="83"/>
      <c r="D110" s="83"/>
      <c r="E110" s="83"/>
      <c r="F110" s="83"/>
      <c r="G110" s="83"/>
      <c r="H110" s="83"/>
      <c r="I110" s="83"/>
      <c r="N110" s="70">
        <f t="shared" si="4"/>
        <v>0</v>
      </c>
    </row>
    <row r="111" spans="1:14" x14ac:dyDescent="0.25">
      <c r="A111" s="83"/>
      <c r="B111" s="83"/>
      <c r="C111" s="83"/>
      <c r="D111" s="83"/>
      <c r="E111" s="83"/>
      <c r="F111" s="83"/>
      <c r="G111" s="83"/>
      <c r="H111" s="83"/>
      <c r="I111" s="83"/>
      <c r="N111" s="70">
        <f t="shared" si="4"/>
        <v>0</v>
      </c>
    </row>
    <row r="112" spans="1:14" x14ac:dyDescent="0.25">
      <c r="A112" s="83"/>
      <c r="B112" s="83"/>
      <c r="C112" s="83"/>
      <c r="D112" s="83"/>
      <c r="E112" s="83"/>
      <c r="F112" s="83"/>
      <c r="G112" s="83"/>
      <c r="H112" s="83"/>
      <c r="I112" s="83"/>
      <c r="N112" s="70">
        <f t="shared" si="4"/>
        <v>0</v>
      </c>
    </row>
    <row r="113" spans="1:9" x14ac:dyDescent="0.25">
      <c r="A113" s="83"/>
      <c r="B113" s="83"/>
      <c r="C113" s="83"/>
      <c r="D113" s="83"/>
      <c r="E113" s="83"/>
      <c r="F113" s="83"/>
      <c r="G113" s="83"/>
      <c r="H113" s="83"/>
      <c r="I113" s="83"/>
    </row>
    <row r="114" spans="1:9" x14ac:dyDescent="0.25">
      <c r="A114" s="83"/>
      <c r="B114" s="83"/>
      <c r="C114" s="83"/>
      <c r="D114" s="83"/>
      <c r="E114" s="83"/>
      <c r="F114" s="83"/>
      <c r="G114" s="83"/>
      <c r="H114" s="83"/>
      <c r="I114" s="83"/>
    </row>
    <row r="115" spans="1:9" x14ac:dyDescent="0.25">
      <c r="A115" s="83"/>
      <c r="B115" s="83"/>
      <c r="C115" s="83"/>
      <c r="D115" s="83"/>
      <c r="E115" s="83"/>
      <c r="F115" s="83"/>
      <c r="G115" s="83"/>
      <c r="H115" s="83"/>
      <c r="I115" s="83"/>
    </row>
    <row r="116" spans="1:9" x14ac:dyDescent="0.25">
      <c r="A116" s="83"/>
      <c r="B116" s="83"/>
      <c r="C116" s="83"/>
      <c r="D116" s="83"/>
      <c r="E116" s="83"/>
      <c r="F116" s="83"/>
      <c r="G116" s="83"/>
      <c r="H116" s="83"/>
      <c r="I116" s="83"/>
    </row>
    <row r="117" spans="1:9" x14ac:dyDescent="0.25">
      <c r="A117" s="83"/>
      <c r="B117" s="83"/>
      <c r="C117" s="83"/>
      <c r="D117" s="83"/>
      <c r="E117" s="83"/>
      <c r="F117" s="83"/>
      <c r="G117" s="83"/>
      <c r="H117" s="83"/>
      <c r="I117" s="83"/>
    </row>
    <row r="118" spans="1:9" x14ac:dyDescent="0.25">
      <c r="E118" s="73">
        <f>I73</f>
        <v>34136862.852153294</v>
      </c>
      <c r="I118" s="73">
        <f>SUM(A118:H118)</f>
        <v>34136862.852153294</v>
      </c>
    </row>
    <row r="120" spans="1:9" x14ac:dyDescent="0.25">
      <c r="A120" s="74">
        <f>SUM(A95:A119)</f>
        <v>3413686.2852153294</v>
      </c>
      <c r="E120" s="74"/>
      <c r="I120" s="73">
        <f>SUM(E120)</f>
        <v>0</v>
      </c>
    </row>
    <row r="121" spans="1:9" x14ac:dyDescent="0.25">
      <c r="A121" s="74">
        <f>SUM(A95:A120)</f>
        <v>6827372.5704306588</v>
      </c>
      <c r="E121" s="74"/>
      <c r="I121" s="73">
        <f>SUM(E121)</f>
        <v>0</v>
      </c>
    </row>
    <row r="129" spans="1:21" s="75" customFormat="1" x14ac:dyDescent="0.25">
      <c r="A129" s="74"/>
      <c r="B129" s="1"/>
      <c r="C129" s="1"/>
      <c r="D129" s="1"/>
      <c r="E129" s="74"/>
      <c r="G129" s="1"/>
      <c r="H129" s="1"/>
      <c r="I129" s="7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s="75" customFormat="1" x14ac:dyDescent="0.25">
      <c r="A130" s="74"/>
      <c r="B130" s="1"/>
      <c r="C130" s="1"/>
      <c r="D130" s="1"/>
      <c r="E130" s="73"/>
      <c r="G130" s="1"/>
      <c r="H130" s="1"/>
      <c r="I130" s="7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</sheetData>
  <mergeCells count="108">
    <mergeCell ref="A1:I1"/>
    <mergeCell ref="A2:I2"/>
    <mergeCell ref="A3:I3"/>
    <mergeCell ref="A4:B4"/>
    <mergeCell ref="F4:I9"/>
    <mergeCell ref="A5:B5"/>
    <mergeCell ref="A6:B6"/>
    <mergeCell ref="A7:B7"/>
    <mergeCell ref="A8:B8"/>
    <mergeCell ref="A9:B9"/>
    <mergeCell ref="B16:E16"/>
    <mergeCell ref="B17:E17"/>
    <mergeCell ref="B18:E18"/>
    <mergeCell ref="B19:E19"/>
    <mergeCell ref="B20:E20"/>
    <mergeCell ref="B21:E21"/>
    <mergeCell ref="B10:E10"/>
    <mergeCell ref="B11:E11"/>
    <mergeCell ref="B12:E12"/>
    <mergeCell ref="B13:E13"/>
    <mergeCell ref="B14:E14"/>
    <mergeCell ref="B15:E15"/>
    <mergeCell ref="B28:E28"/>
    <mergeCell ref="B29:E29"/>
    <mergeCell ref="B30:E30"/>
    <mergeCell ref="B31:E31"/>
    <mergeCell ref="B32:H32"/>
    <mergeCell ref="B33:E33"/>
    <mergeCell ref="B22:E22"/>
    <mergeCell ref="B23:E23"/>
    <mergeCell ref="B24:E24"/>
    <mergeCell ref="B25:E25"/>
    <mergeCell ref="B26:E26"/>
    <mergeCell ref="B27:E27"/>
    <mergeCell ref="B40:E40"/>
    <mergeCell ref="F40:H40"/>
    <mergeCell ref="B41:E41"/>
    <mergeCell ref="F41:H41"/>
    <mergeCell ref="B42:E42"/>
    <mergeCell ref="F42:H42"/>
    <mergeCell ref="B34:E34"/>
    <mergeCell ref="B35:E35"/>
    <mergeCell ref="B36:E36"/>
    <mergeCell ref="B37:E37"/>
    <mergeCell ref="B38:E38"/>
    <mergeCell ref="B39:E39"/>
    <mergeCell ref="B46:E46"/>
    <mergeCell ref="F46:H46"/>
    <mergeCell ref="B47:E47"/>
    <mergeCell ref="F47:H47"/>
    <mergeCell ref="B48:E48"/>
    <mergeCell ref="F48:H48"/>
    <mergeCell ref="B43:E43"/>
    <mergeCell ref="F43:H43"/>
    <mergeCell ref="B44:E44"/>
    <mergeCell ref="F44:H44"/>
    <mergeCell ref="B45:E45"/>
    <mergeCell ref="F45:H45"/>
    <mergeCell ref="B52:E52"/>
    <mergeCell ref="F52:H52"/>
    <mergeCell ref="B53:E53"/>
    <mergeCell ref="F53:H53"/>
    <mergeCell ref="B54:E54"/>
    <mergeCell ref="F54:H54"/>
    <mergeCell ref="B49:E49"/>
    <mergeCell ref="F49:H49"/>
    <mergeCell ref="B50:E50"/>
    <mergeCell ref="F50:H50"/>
    <mergeCell ref="B51:E51"/>
    <mergeCell ref="F51:H51"/>
    <mergeCell ref="B58:E58"/>
    <mergeCell ref="F58:H58"/>
    <mergeCell ref="B59:H59"/>
    <mergeCell ref="B60:E60"/>
    <mergeCell ref="F60:H60"/>
    <mergeCell ref="B61:H61"/>
    <mergeCell ref="B55:E55"/>
    <mergeCell ref="F55:H55"/>
    <mergeCell ref="B56:E56"/>
    <mergeCell ref="F56:H56"/>
    <mergeCell ref="B57:E57"/>
    <mergeCell ref="F57:H57"/>
    <mergeCell ref="B65:E65"/>
    <mergeCell ref="F65:H65"/>
    <mergeCell ref="B66:H66"/>
    <mergeCell ref="B67:E67"/>
    <mergeCell ref="F67:H67"/>
    <mergeCell ref="B68:E68"/>
    <mergeCell ref="F68:H68"/>
    <mergeCell ref="B62:E62"/>
    <mergeCell ref="F62:H62"/>
    <mergeCell ref="B63:E63"/>
    <mergeCell ref="F63:H63"/>
    <mergeCell ref="B64:E64"/>
    <mergeCell ref="F64:H64"/>
    <mergeCell ref="A95:I117"/>
    <mergeCell ref="B72:E72"/>
    <mergeCell ref="F72:H72"/>
    <mergeCell ref="B73:H73"/>
    <mergeCell ref="A74:E74"/>
    <mergeCell ref="B75:E75"/>
    <mergeCell ref="B76:E76"/>
    <mergeCell ref="B69:E69"/>
    <mergeCell ref="F69:H69"/>
    <mergeCell ref="B70:E70"/>
    <mergeCell ref="F70:H70"/>
    <mergeCell ref="B71:E71"/>
    <mergeCell ref="F71:H71"/>
  </mergeCells>
  <pageMargins left="0.84" right="0.31496062992126" top="0.73" bottom="0.5" header="0.27559055118110198" footer="0.25"/>
  <pageSetup paperSize="9" scale="62" fitToHeight="0" orientation="portrait" r:id="rId1"/>
  <headerFooter alignWithMargins="0">
    <oddHeader xml:space="preserve">&amp;C&amp;P&amp;R 
</oddHeader>
    <oddFooter>&amp;L&amp;6&amp;Z&amp;F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U130"/>
  <sheetViews>
    <sheetView view="pageBreakPreview" topLeftCell="A70" zoomScale="80" zoomScaleSheetLayoutView="80" workbookViewId="0">
      <selection activeCell="J78" sqref="J78"/>
    </sheetView>
  </sheetViews>
  <sheetFormatPr defaultColWidth="9.109375" defaultRowHeight="13.2" x14ac:dyDescent="0.25"/>
  <cols>
    <col min="1" max="1" width="9.33203125" style="74" customWidth="1"/>
    <col min="2" max="2" width="13.6640625" style="1" customWidth="1"/>
    <col min="3" max="3" width="5" style="1" customWidth="1"/>
    <col min="4" max="4" width="11" style="1" customWidth="1"/>
    <col min="5" max="5" width="50.6640625" style="1" customWidth="1"/>
    <col min="6" max="6" width="14.6640625" style="75" customWidth="1"/>
    <col min="7" max="7" width="16.6640625" style="1" customWidth="1"/>
    <col min="8" max="8" width="9.5546875" style="1" customWidth="1"/>
    <col min="9" max="9" width="18.33203125" style="73" customWidth="1"/>
    <col min="10" max="10" width="12.6640625" style="1" bestFit="1" customWidth="1"/>
    <col min="11" max="11" width="14.6640625" style="1" bestFit="1" customWidth="1"/>
    <col min="12" max="12" width="13.88671875" style="1" bestFit="1" customWidth="1"/>
    <col min="13" max="13" width="13.88671875" style="1" customWidth="1"/>
    <col min="14" max="14" width="9.5546875" style="1" bestFit="1" customWidth="1"/>
    <col min="15" max="20" width="9.109375" style="1"/>
    <col min="21" max="21" width="11.33203125" style="1" customWidth="1"/>
    <col min="22" max="16384" width="9.109375" style="1"/>
  </cols>
  <sheetData>
    <row r="1" spans="1:14" ht="37.5" customHeight="1" x14ac:dyDescent="0.25">
      <c r="A1" s="140" t="s">
        <v>0</v>
      </c>
      <c r="B1" s="141"/>
      <c r="C1" s="141"/>
      <c r="D1" s="141"/>
      <c r="E1" s="141"/>
      <c r="F1" s="141"/>
      <c r="G1" s="141"/>
      <c r="H1" s="141"/>
      <c r="I1" s="142"/>
    </row>
    <row r="2" spans="1:14" s="2" customFormat="1" ht="35.25" customHeight="1" x14ac:dyDescent="0.25">
      <c r="A2" s="143" t="s">
        <v>87</v>
      </c>
      <c r="B2" s="144"/>
      <c r="C2" s="144"/>
      <c r="D2" s="144"/>
      <c r="E2" s="144"/>
      <c r="F2" s="144"/>
      <c r="G2" s="144"/>
      <c r="H2" s="144"/>
      <c r="I2" s="145"/>
    </row>
    <row r="3" spans="1:14" s="2" customFormat="1" ht="30.75" customHeight="1" x14ac:dyDescent="0.25">
      <c r="A3" s="146" t="s">
        <v>1</v>
      </c>
      <c r="B3" s="146"/>
      <c r="C3" s="146"/>
      <c r="D3" s="146"/>
      <c r="E3" s="146"/>
      <c r="F3" s="146"/>
      <c r="G3" s="146"/>
      <c r="H3" s="146"/>
      <c r="I3" s="146"/>
    </row>
    <row r="4" spans="1:14" s="7" customFormat="1" ht="39.75" customHeight="1" x14ac:dyDescent="0.25">
      <c r="A4" s="147" t="s">
        <v>79</v>
      </c>
      <c r="B4" s="148"/>
      <c r="C4" s="3" t="s">
        <v>2</v>
      </c>
      <c r="D4" s="4">
        <v>282.38</v>
      </c>
      <c r="E4" s="5" t="s">
        <v>3</v>
      </c>
      <c r="F4" s="149" t="s">
        <v>95</v>
      </c>
      <c r="G4" s="150"/>
      <c r="H4" s="150"/>
      <c r="I4" s="151"/>
      <c r="J4" s="6"/>
    </row>
    <row r="5" spans="1:14" s="7" customFormat="1" ht="39.75" customHeight="1" x14ac:dyDescent="0.25">
      <c r="A5" s="147" t="s">
        <v>80</v>
      </c>
      <c r="B5" s="148"/>
      <c r="C5" s="3" t="s">
        <v>2</v>
      </c>
      <c r="D5" s="4">
        <v>229</v>
      </c>
      <c r="E5" s="5" t="s">
        <v>3</v>
      </c>
      <c r="F5" s="152"/>
      <c r="G5" s="153"/>
      <c r="H5" s="153"/>
      <c r="I5" s="154"/>
      <c r="J5" s="6"/>
    </row>
    <row r="6" spans="1:14" s="7" customFormat="1" ht="39.75" customHeight="1" x14ac:dyDescent="0.25">
      <c r="A6" s="147" t="s">
        <v>89</v>
      </c>
      <c r="B6" s="148"/>
      <c r="C6" s="3" t="s">
        <v>2</v>
      </c>
      <c r="D6" s="4">
        <v>12.26</v>
      </c>
      <c r="E6" s="5" t="s">
        <v>7</v>
      </c>
      <c r="F6" s="152"/>
      <c r="G6" s="153"/>
      <c r="H6" s="153"/>
      <c r="I6" s="154"/>
      <c r="J6" s="6">
        <f>12.26*2</f>
        <v>24.52</v>
      </c>
    </row>
    <row r="7" spans="1:14" s="7" customFormat="1" ht="39.75" customHeight="1" x14ac:dyDescent="0.25">
      <c r="A7" s="147" t="s">
        <v>6</v>
      </c>
      <c r="B7" s="148"/>
      <c r="C7" s="3" t="s">
        <v>2</v>
      </c>
      <c r="D7" s="4">
        <v>253.51</v>
      </c>
      <c r="E7" s="5" t="s">
        <v>3</v>
      </c>
      <c r="F7" s="152"/>
      <c r="G7" s="153"/>
      <c r="H7" s="153"/>
      <c r="I7" s="154"/>
      <c r="J7" s="11" t="e">
        <f>#REF!+D7</f>
        <v>#REF!</v>
      </c>
    </row>
    <row r="8" spans="1:14" s="10" customFormat="1" ht="39.75" customHeight="1" x14ac:dyDescent="0.25">
      <c r="A8" s="155" t="s">
        <v>4</v>
      </c>
      <c r="B8" s="155"/>
      <c r="C8" s="3" t="s">
        <v>2</v>
      </c>
      <c r="D8" s="8">
        <f>SUM(D2:D7)</f>
        <v>777.15</v>
      </c>
      <c r="E8" s="76" t="s">
        <v>5</v>
      </c>
      <c r="F8" s="152"/>
      <c r="G8" s="153"/>
      <c r="H8" s="153"/>
      <c r="I8" s="154"/>
      <c r="J8" s="9"/>
    </row>
    <row r="9" spans="1:14" s="7" customFormat="1" ht="39.75" customHeight="1" x14ac:dyDescent="0.25">
      <c r="A9" s="156" t="s">
        <v>88</v>
      </c>
      <c r="B9" s="157"/>
      <c r="C9" s="3" t="s">
        <v>2</v>
      </c>
      <c r="D9" s="4">
        <v>16.260000000000002</v>
      </c>
      <c r="E9" s="5" t="s">
        <v>7</v>
      </c>
      <c r="F9" s="152"/>
      <c r="G9" s="153"/>
      <c r="H9" s="153"/>
      <c r="I9" s="154"/>
      <c r="J9" s="6" t="e">
        <f>J7/2</f>
        <v>#REF!</v>
      </c>
    </row>
    <row r="10" spans="1:14" s="17" customFormat="1" ht="55.5" customHeight="1" thickBot="1" x14ac:dyDescent="0.3">
      <c r="A10" s="12" t="s">
        <v>8</v>
      </c>
      <c r="B10" s="135" t="s">
        <v>9</v>
      </c>
      <c r="C10" s="135"/>
      <c r="D10" s="135"/>
      <c r="E10" s="135"/>
      <c r="F10" s="13" t="s">
        <v>10</v>
      </c>
      <c r="G10" s="14" t="s">
        <v>11</v>
      </c>
      <c r="H10" s="14" t="s">
        <v>12</v>
      </c>
      <c r="I10" s="15" t="s">
        <v>13</v>
      </c>
      <c r="J10" s="16"/>
    </row>
    <row r="11" spans="1:14" s="26" customFormat="1" ht="46.5" customHeight="1" thickTop="1" x14ac:dyDescent="0.25">
      <c r="A11" s="18">
        <v>1</v>
      </c>
      <c r="B11" s="131" t="s">
        <v>14</v>
      </c>
      <c r="C11" s="131"/>
      <c r="D11" s="131"/>
      <c r="E11" s="131"/>
      <c r="F11" s="19">
        <f>D4+D5+D6+D6</f>
        <v>535.9</v>
      </c>
      <c r="G11" s="20">
        <v>5295</v>
      </c>
      <c r="H11" s="21" t="s">
        <v>15</v>
      </c>
      <c r="I11" s="22">
        <f t="shared" ref="I11:I39" si="0">F11*G11</f>
        <v>2837590.5</v>
      </c>
      <c r="J11" s="23" t="e">
        <f>#REF!+D6</f>
        <v>#REF!</v>
      </c>
      <c r="K11" s="24"/>
      <c r="L11" s="25"/>
      <c r="M11" s="24">
        <f>8330+31</f>
        <v>8361</v>
      </c>
      <c r="N11" s="24"/>
    </row>
    <row r="12" spans="1:14" s="7" customFormat="1" ht="46.5" customHeight="1" x14ac:dyDescent="0.25">
      <c r="A12" s="18">
        <f>A11+1</f>
        <v>2</v>
      </c>
      <c r="B12" s="131" t="s">
        <v>16</v>
      </c>
      <c r="C12" s="131"/>
      <c r="D12" s="131"/>
      <c r="E12" s="131"/>
      <c r="F12" s="19">
        <f>F11</f>
        <v>535.9</v>
      </c>
      <c r="G12" s="20">
        <f>480*3</f>
        <v>1440</v>
      </c>
      <c r="H12" s="21" t="s">
        <v>15</v>
      </c>
      <c r="I12" s="22">
        <f t="shared" si="0"/>
        <v>771696</v>
      </c>
      <c r="J12" s="6"/>
      <c r="K12" s="27"/>
      <c r="L12" s="28"/>
      <c r="M12" s="27"/>
      <c r="N12" s="24"/>
    </row>
    <row r="13" spans="1:14" s="7" customFormat="1" ht="46.5" customHeight="1" x14ac:dyDescent="0.25">
      <c r="A13" s="18">
        <f>A12+1</f>
        <v>3</v>
      </c>
      <c r="B13" s="131" t="s">
        <v>90</v>
      </c>
      <c r="C13" s="131"/>
      <c r="D13" s="131"/>
      <c r="E13" s="131"/>
      <c r="F13" s="19">
        <f>F11</f>
        <v>535.9</v>
      </c>
      <c r="G13" s="20">
        <f>300*3</f>
        <v>900</v>
      </c>
      <c r="H13" s="21" t="s">
        <v>15</v>
      </c>
      <c r="I13" s="22">
        <f t="shared" si="0"/>
        <v>482310</v>
      </c>
      <c r="J13" s="6"/>
      <c r="K13" s="27"/>
      <c r="L13" s="28"/>
      <c r="M13" s="27"/>
      <c r="N13" s="24"/>
    </row>
    <row r="14" spans="1:14" s="7" customFormat="1" ht="45.75" customHeight="1" x14ac:dyDescent="0.25">
      <c r="A14" s="18">
        <f>A13+1</f>
        <v>4</v>
      </c>
      <c r="B14" s="136" t="s">
        <v>17</v>
      </c>
      <c r="C14" s="136"/>
      <c r="D14" s="136"/>
      <c r="E14" s="136"/>
      <c r="F14" s="19"/>
      <c r="G14" s="21"/>
      <c r="H14" s="21"/>
      <c r="I14" s="22">
        <f t="shared" si="0"/>
        <v>0</v>
      </c>
      <c r="J14" s="29"/>
      <c r="K14" s="27"/>
      <c r="L14" s="28"/>
      <c r="M14" s="27">
        <v>8361</v>
      </c>
      <c r="N14" s="24"/>
    </row>
    <row r="15" spans="1:14" s="7" customFormat="1" ht="52.5" customHeight="1" x14ac:dyDescent="0.25">
      <c r="A15" s="18"/>
      <c r="B15" s="137" t="s">
        <v>18</v>
      </c>
      <c r="C15" s="138"/>
      <c r="D15" s="138"/>
      <c r="E15" s="139"/>
      <c r="F15" s="19">
        <f>D5</f>
        <v>229</v>
      </c>
      <c r="G15" s="20">
        <v>10655</v>
      </c>
      <c r="H15" s="21" t="s">
        <v>15</v>
      </c>
      <c r="I15" s="22">
        <f t="shared" si="0"/>
        <v>2439995</v>
      </c>
      <c r="J15" s="29"/>
      <c r="K15" s="27">
        <f>4330*40%</f>
        <v>1732</v>
      </c>
      <c r="L15" s="28" t="e">
        <f>#REF!+D6</f>
        <v>#REF!</v>
      </c>
      <c r="M15" s="27">
        <f>(M14*40%)+M14</f>
        <v>11705.4</v>
      </c>
      <c r="N15" s="24"/>
    </row>
    <row r="16" spans="1:14" s="7" customFormat="1" ht="45.75" customHeight="1" x14ac:dyDescent="0.25">
      <c r="A16" s="18"/>
      <c r="B16" s="130" t="s">
        <v>19</v>
      </c>
      <c r="C16" s="130"/>
      <c r="D16" s="130"/>
      <c r="E16" s="130"/>
      <c r="F16" s="19">
        <f>D4</f>
        <v>282.38</v>
      </c>
      <c r="G16" s="20">
        <v>6925.75</v>
      </c>
      <c r="H16" s="21" t="s">
        <v>15</v>
      </c>
      <c r="I16" s="22">
        <f t="shared" si="0"/>
        <v>1955693.2849999999</v>
      </c>
      <c r="J16" s="29"/>
      <c r="K16" s="27"/>
      <c r="L16" s="28"/>
      <c r="M16" s="27"/>
      <c r="N16" s="24"/>
    </row>
    <row r="17" spans="1:20" s="7" customFormat="1" ht="36.75" customHeight="1" x14ac:dyDescent="0.25">
      <c r="A17" s="18"/>
      <c r="B17" s="131" t="s">
        <v>20</v>
      </c>
      <c r="C17" s="131"/>
      <c r="D17" s="131"/>
      <c r="E17" s="131"/>
      <c r="F17" s="19">
        <f>D7</f>
        <v>253.51</v>
      </c>
      <c r="G17" s="20">
        <f>G15+37</f>
        <v>10692</v>
      </c>
      <c r="H17" s="21" t="s">
        <v>15</v>
      </c>
      <c r="I17" s="22">
        <f t="shared" si="0"/>
        <v>2710528.92</v>
      </c>
      <c r="J17" s="29"/>
      <c r="K17" s="27">
        <f>G15*65%</f>
        <v>6925.75</v>
      </c>
      <c r="L17" s="28"/>
      <c r="M17" s="27"/>
      <c r="N17" s="24"/>
    </row>
    <row r="18" spans="1:20" s="7" customFormat="1" ht="36.75" customHeight="1" x14ac:dyDescent="0.25">
      <c r="A18" s="18"/>
      <c r="B18" s="123" t="s">
        <v>21</v>
      </c>
      <c r="C18" s="123"/>
      <c r="D18" s="123"/>
      <c r="E18" s="123"/>
      <c r="F18" s="19">
        <f>D6*2</f>
        <v>24.52</v>
      </c>
      <c r="G18" s="20">
        <f>G16</f>
        <v>6925.75</v>
      </c>
      <c r="H18" s="21" t="s">
        <v>15</v>
      </c>
      <c r="I18" s="22">
        <f t="shared" si="0"/>
        <v>169819.38999999998</v>
      </c>
      <c r="J18" s="29"/>
      <c r="K18" s="27">
        <f>G17+37</f>
        <v>10729</v>
      </c>
      <c r="L18" s="28"/>
      <c r="M18" s="27"/>
      <c r="N18" s="24"/>
    </row>
    <row r="19" spans="1:20" s="7" customFormat="1" ht="36.75" customHeight="1" x14ac:dyDescent="0.25">
      <c r="A19" s="18"/>
      <c r="B19" s="123" t="s">
        <v>22</v>
      </c>
      <c r="C19" s="123"/>
      <c r="D19" s="123"/>
      <c r="E19" s="123"/>
      <c r="F19" s="19">
        <f>D9*2</f>
        <v>32.520000000000003</v>
      </c>
      <c r="G19" s="20">
        <v>6973.85</v>
      </c>
      <c r="H19" s="21" t="s">
        <v>15</v>
      </c>
      <c r="I19" s="22">
        <f t="shared" si="0"/>
        <v>226789.60200000004</v>
      </c>
      <c r="J19" s="29"/>
      <c r="K19" s="27">
        <f>K18*65%</f>
        <v>6973.85</v>
      </c>
      <c r="L19" s="28"/>
      <c r="M19" s="27"/>
      <c r="N19" s="24"/>
    </row>
    <row r="20" spans="1:20" s="7" customFormat="1" ht="43.5" customHeight="1" x14ac:dyDescent="0.25">
      <c r="A20" s="18">
        <f>A14+1</f>
        <v>5</v>
      </c>
      <c r="B20" s="123" t="s">
        <v>96</v>
      </c>
      <c r="C20" s="123"/>
      <c r="D20" s="123"/>
      <c r="E20" s="123"/>
      <c r="F20" s="19">
        <f>D4</f>
        <v>282.38</v>
      </c>
      <c r="G20" s="20">
        <f>2.8*615</f>
        <v>1722</v>
      </c>
      <c r="H20" s="21" t="s">
        <v>15</v>
      </c>
      <c r="I20" s="22">
        <f t="shared" si="0"/>
        <v>486258.36</v>
      </c>
      <c r="J20" s="29"/>
      <c r="K20" s="27">
        <f>K19*65%</f>
        <v>4533.0025000000005</v>
      </c>
      <c r="L20" s="28"/>
      <c r="M20" s="27"/>
      <c r="N20" s="24"/>
    </row>
    <row r="21" spans="1:20" s="7" customFormat="1" ht="33.75" customHeight="1" x14ac:dyDescent="0.25">
      <c r="A21" s="18">
        <f>A20+1</f>
        <v>6</v>
      </c>
      <c r="B21" s="131" t="s">
        <v>23</v>
      </c>
      <c r="C21" s="131"/>
      <c r="D21" s="131"/>
      <c r="E21" s="131"/>
      <c r="F21" s="19">
        <f>F11</f>
        <v>535.9</v>
      </c>
      <c r="G21" s="19">
        <v>1765</v>
      </c>
      <c r="H21" s="21" t="s">
        <v>15</v>
      </c>
      <c r="I21" s="22">
        <f t="shared" si="0"/>
        <v>945863.5</v>
      </c>
      <c r="J21" s="11"/>
      <c r="K21" s="27">
        <f>615*2.8</f>
        <v>1722</v>
      </c>
      <c r="L21" s="28"/>
      <c r="M21" s="27"/>
      <c r="N21" s="24"/>
    </row>
    <row r="22" spans="1:20" s="7" customFormat="1" ht="30.75" customHeight="1" x14ac:dyDescent="0.25">
      <c r="A22" s="18">
        <f t="shared" ref="A22:A27" si="1">A21+1</f>
        <v>7</v>
      </c>
      <c r="B22" s="119" t="s">
        <v>24</v>
      </c>
      <c r="C22" s="120"/>
      <c r="D22" s="120"/>
      <c r="E22" s="121"/>
      <c r="F22" s="19">
        <f>F21</f>
        <v>535.9</v>
      </c>
      <c r="G22" s="19">
        <v>120</v>
      </c>
      <c r="H22" s="21" t="s">
        <v>15</v>
      </c>
      <c r="I22" s="22">
        <f t="shared" si="0"/>
        <v>64308</v>
      </c>
      <c r="J22" s="6"/>
      <c r="K22" s="27"/>
      <c r="L22" s="28"/>
      <c r="M22" s="27"/>
      <c r="N22" s="24"/>
      <c r="T22" s="7">
        <f>4840*65/100</f>
        <v>3146</v>
      </c>
    </row>
    <row r="23" spans="1:20" s="7" customFormat="1" ht="33.75" customHeight="1" x14ac:dyDescent="0.25">
      <c r="A23" s="18">
        <f t="shared" si="1"/>
        <v>8</v>
      </c>
      <c r="B23" s="131" t="s">
        <v>25</v>
      </c>
      <c r="C23" s="131"/>
      <c r="D23" s="131"/>
      <c r="E23" s="131"/>
      <c r="F23" s="19">
        <v>386.01</v>
      </c>
      <c r="G23" s="19">
        <v>1660</v>
      </c>
      <c r="H23" s="21" t="s">
        <v>15</v>
      </c>
      <c r="I23" s="22">
        <f t="shared" si="0"/>
        <v>640776.6</v>
      </c>
      <c r="J23" s="11"/>
      <c r="K23" s="27"/>
      <c r="L23" s="28"/>
      <c r="M23" s="27"/>
      <c r="N23" s="24"/>
    </row>
    <row r="24" spans="1:20" s="7" customFormat="1" ht="33.75" customHeight="1" x14ac:dyDescent="0.25">
      <c r="A24" s="18">
        <f t="shared" si="1"/>
        <v>9</v>
      </c>
      <c r="B24" s="132" t="s">
        <v>26</v>
      </c>
      <c r="C24" s="133"/>
      <c r="D24" s="133"/>
      <c r="E24" s="134"/>
      <c r="F24" s="19">
        <f>F22</f>
        <v>535.9</v>
      </c>
      <c r="G24" s="19">
        <v>394</v>
      </c>
      <c r="H24" s="21" t="s">
        <v>15</v>
      </c>
      <c r="I24" s="22">
        <f t="shared" si="0"/>
        <v>211144.59999999998</v>
      </c>
      <c r="J24" s="11"/>
      <c r="K24" s="27"/>
      <c r="L24" s="28"/>
      <c r="M24" s="27"/>
      <c r="N24" s="24"/>
    </row>
    <row r="25" spans="1:20" s="7" customFormat="1" ht="33.75" customHeight="1" x14ac:dyDescent="0.25">
      <c r="A25" s="18">
        <f t="shared" si="1"/>
        <v>10</v>
      </c>
      <c r="B25" s="131" t="s">
        <v>27</v>
      </c>
      <c r="C25" s="131"/>
      <c r="D25" s="131"/>
      <c r="E25" s="131"/>
      <c r="F25" s="30">
        <v>394.71</v>
      </c>
      <c r="G25" s="19">
        <v>555</v>
      </c>
      <c r="H25" s="21" t="s">
        <v>15</v>
      </c>
      <c r="I25" s="22">
        <f t="shared" si="0"/>
        <v>219064.05</v>
      </c>
      <c r="J25" s="6"/>
      <c r="K25" s="27"/>
      <c r="L25" s="28"/>
      <c r="M25" s="27"/>
      <c r="N25" s="24"/>
    </row>
    <row r="26" spans="1:20" s="7" customFormat="1" ht="33.75" customHeight="1" x14ac:dyDescent="0.25">
      <c r="A26" s="18">
        <f t="shared" si="1"/>
        <v>11</v>
      </c>
      <c r="B26" s="131" t="s">
        <v>28</v>
      </c>
      <c r="C26" s="131"/>
      <c r="D26" s="131"/>
      <c r="E26" s="131"/>
      <c r="F26" s="30">
        <f>F25</f>
        <v>394.71</v>
      </c>
      <c r="G26" s="19">
        <v>883</v>
      </c>
      <c r="H26" s="21" t="s">
        <v>15</v>
      </c>
      <c r="I26" s="22">
        <f t="shared" si="0"/>
        <v>348528.93</v>
      </c>
      <c r="J26" s="6"/>
      <c r="K26" s="27"/>
      <c r="L26" s="28"/>
      <c r="M26" s="27"/>
      <c r="N26" s="24"/>
    </row>
    <row r="27" spans="1:20" s="7" customFormat="1" ht="41.25" customHeight="1" x14ac:dyDescent="0.25">
      <c r="A27" s="18">
        <f t="shared" si="1"/>
        <v>12</v>
      </c>
      <c r="B27" s="131" t="s">
        <v>29</v>
      </c>
      <c r="C27" s="131"/>
      <c r="D27" s="131"/>
      <c r="E27" s="131"/>
      <c r="F27" s="19">
        <v>789.41</v>
      </c>
      <c r="G27" s="19">
        <v>515</v>
      </c>
      <c r="H27" s="21" t="s">
        <v>15</v>
      </c>
      <c r="I27" s="22">
        <f t="shared" si="0"/>
        <v>406546.14999999997</v>
      </c>
      <c r="J27" s="6"/>
      <c r="K27" s="27"/>
      <c r="L27" s="28"/>
      <c r="M27" s="27"/>
      <c r="N27" s="24"/>
    </row>
    <row r="28" spans="1:20" s="7" customFormat="1" ht="41.25" customHeight="1" x14ac:dyDescent="0.25">
      <c r="A28" s="31"/>
      <c r="B28" s="131" t="s">
        <v>30</v>
      </c>
      <c r="C28" s="131"/>
      <c r="D28" s="131"/>
      <c r="E28" s="131"/>
      <c r="F28" s="19">
        <f>F27</f>
        <v>789.41</v>
      </c>
      <c r="G28" s="19">
        <v>395</v>
      </c>
      <c r="H28" s="21" t="s">
        <v>15</v>
      </c>
      <c r="I28" s="22">
        <f t="shared" si="0"/>
        <v>311816.95</v>
      </c>
      <c r="J28" s="11"/>
      <c r="K28" s="27"/>
      <c r="L28" s="28"/>
      <c r="M28" s="27"/>
      <c r="N28" s="24"/>
    </row>
    <row r="29" spans="1:20" s="7" customFormat="1" ht="41.25" customHeight="1" x14ac:dyDescent="0.25">
      <c r="A29" s="31"/>
      <c r="B29" s="131" t="s">
        <v>31</v>
      </c>
      <c r="C29" s="131"/>
      <c r="D29" s="131"/>
      <c r="E29" s="131"/>
      <c r="F29" s="19">
        <f>F28</f>
        <v>789.41</v>
      </c>
      <c r="G29" s="19">
        <v>920</v>
      </c>
      <c r="H29" s="21" t="s">
        <v>15</v>
      </c>
      <c r="I29" s="22">
        <f t="shared" si="0"/>
        <v>726257.2</v>
      </c>
      <c r="J29" s="6"/>
      <c r="K29" s="27"/>
      <c r="L29" s="28"/>
      <c r="M29" s="27"/>
      <c r="N29" s="24"/>
    </row>
    <row r="30" spans="1:20" s="7" customFormat="1" ht="51.75" customHeight="1" x14ac:dyDescent="0.25">
      <c r="A30" s="18">
        <f>A27+1</f>
        <v>13</v>
      </c>
      <c r="B30" s="130" t="s">
        <v>32</v>
      </c>
      <c r="C30" s="130"/>
      <c r="D30" s="130"/>
      <c r="E30" s="130"/>
      <c r="F30" s="19">
        <f>F28</f>
        <v>789.41</v>
      </c>
      <c r="G30" s="19">
        <v>1680</v>
      </c>
      <c r="H30" s="21" t="s">
        <v>15</v>
      </c>
      <c r="I30" s="22">
        <f t="shared" si="0"/>
        <v>1326208.8</v>
      </c>
      <c r="J30" s="11"/>
      <c r="K30" s="27"/>
      <c r="L30" s="28"/>
      <c r="M30" s="27"/>
      <c r="N30" s="24"/>
    </row>
    <row r="31" spans="1:20" s="7" customFormat="1" ht="54.75" customHeight="1" x14ac:dyDescent="0.25">
      <c r="A31" s="18">
        <f>A30+1</f>
        <v>14</v>
      </c>
      <c r="B31" s="130" t="s">
        <v>33</v>
      </c>
      <c r="C31" s="130"/>
      <c r="D31" s="130"/>
      <c r="E31" s="130"/>
      <c r="F31" s="19">
        <f>F30</f>
        <v>789.41</v>
      </c>
      <c r="G31" s="19">
        <v>197</v>
      </c>
      <c r="H31" s="21" t="s">
        <v>15</v>
      </c>
      <c r="I31" s="22">
        <f t="shared" si="0"/>
        <v>155513.76999999999</v>
      </c>
      <c r="J31" s="6"/>
      <c r="K31" s="27"/>
      <c r="L31" s="28"/>
      <c r="M31" s="27"/>
      <c r="N31" s="24"/>
    </row>
    <row r="32" spans="1:20" s="7" customFormat="1" ht="30" customHeight="1" x14ac:dyDescent="0.25">
      <c r="A32" s="31"/>
      <c r="B32" s="112" t="s">
        <v>34</v>
      </c>
      <c r="C32" s="112"/>
      <c r="D32" s="112"/>
      <c r="E32" s="112"/>
      <c r="F32" s="112"/>
      <c r="G32" s="112"/>
      <c r="H32" s="112"/>
      <c r="I32" s="32">
        <f>SUM(I11:I31)</f>
        <v>17436709.606999997</v>
      </c>
      <c r="J32" s="6"/>
      <c r="K32" s="27"/>
      <c r="L32" s="28"/>
      <c r="M32" s="27"/>
      <c r="N32" s="24"/>
    </row>
    <row r="33" spans="1:14" s="7" customFormat="1" ht="51" customHeight="1" x14ac:dyDescent="0.25">
      <c r="A33" s="18">
        <f>A31+1</f>
        <v>15</v>
      </c>
      <c r="B33" s="130" t="s">
        <v>35</v>
      </c>
      <c r="C33" s="130"/>
      <c r="D33" s="130"/>
      <c r="E33" s="130"/>
      <c r="F33" s="19">
        <f>F31</f>
        <v>789.41</v>
      </c>
      <c r="G33" s="20">
        <v>795</v>
      </c>
      <c r="H33" s="21" t="s">
        <v>15</v>
      </c>
      <c r="I33" s="22">
        <f t="shared" si="0"/>
        <v>627580.94999999995</v>
      </c>
      <c r="J33" s="33"/>
      <c r="K33" s="27"/>
      <c r="L33" s="34"/>
      <c r="M33" s="27" t="e">
        <f>SUM(#REF!)</f>
        <v>#REF!</v>
      </c>
      <c r="N33" s="24"/>
    </row>
    <row r="34" spans="1:14" s="7" customFormat="1" ht="36.75" customHeight="1" x14ac:dyDescent="0.25">
      <c r="A34" s="18"/>
      <c r="B34" s="130" t="s">
        <v>36</v>
      </c>
      <c r="C34" s="130"/>
      <c r="D34" s="130"/>
      <c r="E34" s="130"/>
      <c r="F34" s="19">
        <f>F33</f>
        <v>789.41</v>
      </c>
      <c r="G34" s="20">
        <v>245</v>
      </c>
      <c r="H34" s="21" t="s">
        <v>15</v>
      </c>
      <c r="I34" s="22">
        <f t="shared" si="0"/>
        <v>193405.44999999998</v>
      </c>
      <c r="J34" s="33">
        <f>D4+D6</f>
        <v>294.64</v>
      </c>
      <c r="K34" s="27"/>
      <c r="L34" s="34"/>
      <c r="N34" s="24"/>
    </row>
    <row r="35" spans="1:14" s="7" customFormat="1" ht="36.75" customHeight="1" x14ac:dyDescent="0.25">
      <c r="A35" s="18"/>
      <c r="B35" s="130" t="s">
        <v>37</v>
      </c>
      <c r="C35" s="130"/>
      <c r="D35" s="130"/>
      <c r="E35" s="130"/>
      <c r="F35" s="19">
        <f>F34</f>
        <v>789.41</v>
      </c>
      <c r="G35" s="20">
        <v>705</v>
      </c>
      <c r="H35" s="21" t="s">
        <v>15</v>
      </c>
      <c r="I35" s="22">
        <f t="shared" si="0"/>
        <v>556534.04999999993</v>
      </c>
      <c r="J35" s="33">
        <f>J34*80/100</f>
        <v>235.71199999999996</v>
      </c>
      <c r="K35" s="27"/>
      <c r="L35" s="34"/>
      <c r="N35" s="24"/>
    </row>
    <row r="36" spans="1:14" s="7" customFormat="1" ht="36.75" customHeight="1" x14ac:dyDescent="0.25">
      <c r="A36" s="18">
        <f>A33+1</f>
        <v>16</v>
      </c>
      <c r="B36" s="131" t="s">
        <v>38</v>
      </c>
      <c r="C36" s="131"/>
      <c r="D36" s="131"/>
      <c r="E36" s="131"/>
      <c r="F36" s="19">
        <v>101.8</v>
      </c>
      <c r="G36" s="21">
        <v>1120</v>
      </c>
      <c r="H36" s="21" t="s">
        <v>39</v>
      </c>
      <c r="I36" s="22">
        <f t="shared" si="0"/>
        <v>114016</v>
      </c>
      <c r="J36" s="33">
        <f>10*2+4.8+11.33*2</f>
        <v>47.46</v>
      </c>
      <c r="K36" s="27"/>
      <c r="L36" s="34"/>
      <c r="N36" s="24"/>
    </row>
    <row r="37" spans="1:14" s="7" customFormat="1" ht="36.75" customHeight="1" x14ac:dyDescent="0.25">
      <c r="A37" s="18">
        <f t="shared" ref="A37:A72" si="2">A36+1</f>
        <v>17</v>
      </c>
      <c r="B37" s="122" t="s">
        <v>40</v>
      </c>
      <c r="C37" s="122"/>
      <c r="D37" s="122"/>
      <c r="E37" s="122"/>
      <c r="F37" s="77">
        <v>6</v>
      </c>
      <c r="G37" s="20">
        <v>15200</v>
      </c>
      <c r="H37" s="35" t="s">
        <v>41</v>
      </c>
      <c r="I37" s="22">
        <f t="shared" si="0"/>
        <v>91200</v>
      </c>
      <c r="J37" s="33"/>
      <c r="K37" s="27">
        <f>G37*40%</f>
        <v>6080</v>
      </c>
      <c r="L37" s="34"/>
      <c r="N37" s="24"/>
    </row>
    <row r="38" spans="1:14" s="7" customFormat="1" ht="36.75" customHeight="1" x14ac:dyDescent="0.25">
      <c r="A38" s="18">
        <f t="shared" si="2"/>
        <v>18</v>
      </c>
      <c r="B38" s="122" t="s">
        <v>91</v>
      </c>
      <c r="C38" s="122"/>
      <c r="D38" s="122"/>
      <c r="E38" s="122"/>
      <c r="F38" s="77">
        <v>500</v>
      </c>
      <c r="G38" s="20">
        <v>779</v>
      </c>
      <c r="H38" s="21" t="s">
        <v>15</v>
      </c>
      <c r="I38" s="22">
        <f t="shared" si="0"/>
        <v>389500</v>
      </c>
      <c r="J38" s="33"/>
      <c r="K38" s="27">
        <f>K36+G36</f>
        <v>1120</v>
      </c>
      <c r="L38" s="34"/>
      <c r="N38" s="24"/>
    </row>
    <row r="39" spans="1:14" s="7" customFormat="1" ht="36.75" customHeight="1" x14ac:dyDescent="0.25">
      <c r="A39" s="18">
        <f t="shared" si="2"/>
        <v>19</v>
      </c>
      <c r="B39" s="122" t="s">
        <v>81</v>
      </c>
      <c r="C39" s="122"/>
      <c r="D39" s="122"/>
      <c r="E39" s="122"/>
      <c r="F39" s="77">
        <v>200</v>
      </c>
      <c r="G39" s="20">
        <v>6955</v>
      </c>
      <c r="H39" s="21" t="s">
        <v>39</v>
      </c>
      <c r="I39" s="22">
        <f t="shared" si="0"/>
        <v>1391000</v>
      </c>
      <c r="J39" s="33"/>
      <c r="K39" s="27">
        <f>K37+G37</f>
        <v>21280</v>
      </c>
      <c r="L39" s="34"/>
      <c r="N39" s="24"/>
    </row>
    <row r="40" spans="1:14" s="7" customFormat="1" ht="36.75" customHeight="1" x14ac:dyDescent="0.25">
      <c r="A40" s="18">
        <f t="shared" si="2"/>
        <v>20</v>
      </c>
      <c r="B40" s="109" t="s">
        <v>42</v>
      </c>
      <c r="C40" s="110"/>
      <c r="D40" s="110"/>
      <c r="E40" s="111"/>
      <c r="F40" s="127" t="s">
        <v>43</v>
      </c>
      <c r="G40" s="128"/>
      <c r="H40" s="129"/>
      <c r="I40" s="22">
        <v>400000</v>
      </c>
      <c r="J40" s="33"/>
      <c r="K40" s="27"/>
      <c r="L40" s="34"/>
      <c r="N40" s="24"/>
    </row>
    <row r="41" spans="1:14" s="7" customFormat="1" ht="36.75" customHeight="1" x14ac:dyDescent="0.25">
      <c r="A41" s="18">
        <f t="shared" si="2"/>
        <v>21</v>
      </c>
      <c r="B41" s="119" t="s">
        <v>84</v>
      </c>
      <c r="C41" s="120"/>
      <c r="D41" s="120"/>
      <c r="E41" s="121"/>
      <c r="F41" s="127" t="s">
        <v>43</v>
      </c>
      <c r="G41" s="128"/>
      <c r="H41" s="129"/>
      <c r="I41" s="36">
        <v>1000000</v>
      </c>
      <c r="J41" s="33"/>
      <c r="K41" s="27"/>
      <c r="L41" s="34"/>
      <c r="N41" s="24"/>
    </row>
    <row r="42" spans="1:14" s="7" customFormat="1" ht="36.75" customHeight="1" x14ac:dyDescent="0.25">
      <c r="A42" s="18">
        <f t="shared" si="2"/>
        <v>22</v>
      </c>
      <c r="B42" s="123" t="s">
        <v>44</v>
      </c>
      <c r="C42" s="123"/>
      <c r="D42" s="123"/>
      <c r="E42" s="123"/>
      <c r="F42" s="93" t="s">
        <v>43</v>
      </c>
      <c r="G42" s="93"/>
      <c r="H42" s="93"/>
      <c r="I42" s="36">
        <v>500000</v>
      </c>
      <c r="J42" s="33"/>
      <c r="K42" s="27"/>
      <c r="L42" s="34"/>
      <c r="N42" s="24"/>
    </row>
    <row r="43" spans="1:14" s="7" customFormat="1" ht="36.75" customHeight="1" x14ac:dyDescent="0.25">
      <c r="A43" s="18">
        <f t="shared" si="2"/>
        <v>23</v>
      </c>
      <c r="B43" s="119" t="s">
        <v>45</v>
      </c>
      <c r="C43" s="120"/>
      <c r="D43" s="120"/>
      <c r="E43" s="121"/>
      <c r="F43" s="93" t="s">
        <v>43</v>
      </c>
      <c r="G43" s="93"/>
      <c r="H43" s="93"/>
      <c r="I43" s="36">
        <v>100000</v>
      </c>
      <c r="J43" s="33"/>
      <c r="K43" s="27"/>
      <c r="L43" s="34"/>
      <c r="N43" s="24"/>
    </row>
    <row r="44" spans="1:14" s="7" customFormat="1" ht="36.75" customHeight="1" x14ac:dyDescent="0.25">
      <c r="A44" s="18">
        <f t="shared" si="2"/>
        <v>24</v>
      </c>
      <c r="B44" s="119" t="s">
        <v>46</v>
      </c>
      <c r="C44" s="120"/>
      <c r="D44" s="120"/>
      <c r="E44" s="121"/>
      <c r="F44" s="93" t="s">
        <v>43</v>
      </c>
      <c r="G44" s="93"/>
      <c r="H44" s="93"/>
      <c r="I44" s="36">
        <v>75000</v>
      </c>
      <c r="J44" s="33"/>
      <c r="K44" s="27"/>
      <c r="L44" s="34"/>
      <c r="N44" s="24"/>
    </row>
    <row r="45" spans="1:14" s="7" customFormat="1" ht="36.75" customHeight="1" x14ac:dyDescent="0.25">
      <c r="A45" s="18">
        <f t="shared" si="2"/>
        <v>25</v>
      </c>
      <c r="B45" s="119" t="s">
        <v>47</v>
      </c>
      <c r="C45" s="120"/>
      <c r="D45" s="120"/>
      <c r="E45" s="121"/>
      <c r="F45" s="93" t="s">
        <v>43</v>
      </c>
      <c r="G45" s="93"/>
      <c r="H45" s="93"/>
      <c r="I45" s="36">
        <v>100000</v>
      </c>
      <c r="J45" s="33"/>
      <c r="K45" s="27"/>
      <c r="L45" s="34"/>
      <c r="N45" s="24"/>
    </row>
    <row r="46" spans="1:14" s="7" customFormat="1" ht="36.75" customHeight="1" x14ac:dyDescent="0.25">
      <c r="A46" s="18">
        <f t="shared" si="2"/>
        <v>26</v>
      </c>
      <c r="B46" s="119" t="s">
        <v>48</v>
      </c>
      <c r="C46" s="120"/>
      <c r="D46" s="120"/>
      <c r="E46" s="121"/>
      <c r="F46" s="93" t="s">
        <v>43</v>
      </c>
      <c r="G46" s="93"/>
      <c r="H46" s="93"/>
      <c r="I46" s="36">
        <v>100000</v>
      </c>
      <c r="J46" s="33"/>
      <c r="K46" s="27"/>
      <c r="L46" s="34"/>
      <c r="N46" s="24"/>
    </row>
    <row r="47" spans="1:14" s="7" customFormat="1" ht="36.75" customHeight="1" x14ac:dyDescent="0.25">
      <c r="A47" s="18">
        <f t="shared" si="2"/>
        <v>27</v>
      </c>
      <c r="B47" s="124" t="s">
        <v>83</v>
      </c>
      <c r="C47" s="125"/>
      <c r="D47" s="125"/>
      <c r="E47" s="126"/>
      <c r="F47" s="93" t="s">
        <v>43</v>
      </c>
      <c r="G47" s="93"/>
      <c r="H47" s="93"/>
      <c r="I47" s="36">
        <v>1000000</v>
      </c>
      <c r="J47" s="33"/>
      <c r="K47" s="27"/>
      <c r="L47" s="34"/>
      <c r="N47" s="24"/>
    </row>
    <row r="48" spans="1:14" s="7" customFormat="1" ht="36.75" customHeight="1" x14ac:dyDescent="0.25">
      <c r="A48" s="18">
        <f t="shared" si="2"/>
        <v>28</v>
      </c>
      <c r="B48" s="123" t="s">
        <v>49</v>
      </c>
      <c r="C48" s="123"/>
      <c r="D48" s="123"/>
      <c r="E48" s="123"/>
      <c r="F48" s="93" t="s">
        <v>43</v>
      </c>
      <c r="G48" s="93"/>
      <c r="H48" s="93"/>
      <c r="I48" s="36">
        <v>500000</v>
      </c>
      <c r="J48" s="33"/>
      <c r="K48" s="27"/>
      <c r="L48" s="34" t="e">
        <f>#REF!*1/100</f>
        <v>#REF!</v>
      </c>
      <c r="N48" s="24"/>
    </row>
    <row r="49" spans="1:21" s="7" customFormat="1" ht="36.75" customHeight="1" x14ac:dyDescent="0.25">
      <c r="A49" s="18">
        <f t="shared" si="2"/>
        <v>29</v>
      </c>
      <c r="B49" s="94" t="s">
        <v>50</v>
      </c>
      <c r="C49" s="94"/>
      <c r="D49" s="94"/>
      <c r="E49" s="94"/>
      <c r="F49" s="93" t="s">
        <v>43</v>
      </c>
      <c r="G49" s="93"/>
      <c r="H49" s="93"/>
      <c r="I49" s="36">
        <v>500000</v>
      </c>
      <c r="J49" s="33"/>
      <c r="K49" s="27"/>
      <c r="L49" s="34" t="e">
        <f>#REF!*5/100</f>
        <v>#REF!</v>
      </c>
      <c r="N49" s="24"/>
    </row>
    <row r="50" spans="1:21" s="7" customFormat="1" ht="38.25" customHeight="1" x14ac:dyDescent="0.25">
      <c r="A50" s="18">
        <f t="shared" si="2"/>
        <v>30</v>
      </c>
      <c r="B50" s="123" t="s">
        <v>51</v>
      </c>
      <c r="C50" s="123"/>
      <c r="D50" s="123"/>
      <c r="E50" s="123"/>
      <c r="F50" s="93" t="s">
        <v>43</v>
      </c>
      <c r="G50" s="93"/>
      <c r="H50" s="93"/>
      <c r="I50" s="36">
        <v>100000</v>
      </c>
      <c r="J50" s="6"/>
      <c r="L50" s="34"/>
      <c r="N50" s="24"/>
    </row>
    <row r="51" spans="1:21" s="7" customFormat="1" ht="38.25" customHeight="1" x14ac:dyDescent="0.25">
      <c r="A51" s="18">
        <f t="shared" si="2"/>
        <v>31</v>
      </c>
      <c r="B51" s="119" t="s">
        <v>52</v>
      </c>
      <c r="C51" s="120"/>
      <c r="D51" s="120"/>
      <c r="E51" s="121"/>
      <c r="F51" s="93" t="s">
        <v>43</v>
      </c>
      <c r="G51" s="93"/>
      <c r="H51" s="93"/>
      <c r="I51" s="36">
        <v>200000</v>
      </c>
      <c r="J51" s="6"/>
      <c r="L51" s="34"/>
      <c r="N51" s="24"/>
    </row>
    <row r="52" spans="1:21" s="7" customFormat="1" ht="38.25" customHeight="1" x14ac:dyDescent="0.25">
      <c r="A52" s="18">
        <f t="shared" si="2"/>
        <v>32</v>
      </c>
      <c r="B52" s="119" t="s">
        <v>53</v>
      </c>
      <c r="C52" s="120"/>
      <c r="D52" s="120"/>
      <c r="E52" s="121"/>
      <c r="F52" s="93" t="s">
        <v>43</v>
      </c>
      <c r="G52" s="93"/>
      <c r="H52" s="93"/>
      <c r="I52" s="36">
        <v>100000</v>
      </c>
      <c r="J52" s="6"/>
      <c r="L52" s="34"/>
      <c r="N52" s="24"/>
    </row>
    <row r="53" spans="1:21" s="7" customFormat="1" ht="38.25" customHeight="1" x14ac:dyDescent="0.25">
      <c r="A53" s="18">
        <f t="shared" si="2"/>
        <v>33</v>
      </c>
      <c r="B53" s="119" t="s">
        <v>92</v>
      </c>
      <c r="C53" s="120"/>
      <c r="D53" s="120"/>
      <c r="E53" s="121"/>
      <c r="F53" s="93" t="s">
        <v>43</v>
      </c>
      <c r="G53" s="93"/>
      <c r="H53" s="93"/>
      <c r="I53" s="36">
        <v>100000</v>
      </c>
      <c r="J53" s="6"/>
      <c r="L53" s="34"/>
      <c r="N53" s="24"/>
    </row>
    <row r="54" spans="1:21" s="7" customFormat="1" ht="38.25" customHeight="1" x14ac:dyDescent="0.25">
      <c r="A54" s="18">
        <f t="shared" si="2"/>
        <v>34</v>
      </c>
      <c r="B54" s="119" t="s">
        <v>82</v>
      </c>
      <c r="C54" s="120"/>
      <c r="D54" s="120"/>
      <c r="E54" s="121"/>
      <c r="F54" s="93" t="s">
        <v>43</v>
      </c>
      <c r="G54" s="93"/>
      <c r="H54" s="93"/>
      <c r="I54" s="36">
        <v>500000</v>
      </c>
      <c r="J54" s="6"/>
      <c r="L54" s="34"/>
      <c r="N54" s="24"/>
    </row>
    <row r="55" spans="1:21" s="7" customFormat="1" ht="38.25" customHeight="1" x14ac:dyDescent="0.25">
      <c r="A55" s="18">
        <f t="shared" si="2"/>
        <v>35</v>
      </c>
      <c r="B55" s="119" t="s">
        <v>54</v>
      </c>
      <c r="C55" s="120"/>
      <c r="D55" s="120"/>
      <c r="E55" s="121"/>
      <c r="F55" s="93" t="s">
        <v>43</v>
      </c>
      <c r="G55" s="93"/>
      <c r="H55" s="93"/>
      <c r="I55" s="36">
        <v>1000000</v>
      </c>
      <c r="J55" s="6"/>
      <c r="L55" s="34"/>
      <c r="N55" s="24"/>
    </row>
    <row r="56" spans="1:21" s="7" customFormat="1" ht="38.25" customHeight="1" x14ac:dyDescent="0.25">
      <c r="A56" s="18">
        <f t="shared" si="2"/>
        <v>36</v>
      </c>
      <c r="B56" s="84" t="s">
        <v>94</v>
      </c>
      <c r="C56" s="84"/>
      <c r="D56" s="84"/>
      <c r="E56" s="84"/>
      <c r="F56" s="99" t="s">
        <v>55</v>
      </c>
      <c r="G56" s="99"/>
      <c r="H56" s="99"/>
      <c r="I56" s="36">
        <f>35790*2</f>
        <v>71580</v>
      </c>
      <c r="J56" s="6"/>
      <c r="K56" s="27"/>
      <c r="L56" s="34"/>
      <c r="N56" s="24"/>
    </row>
    <row r="57" spans="1:21" s="7" customFormat="1" ht="38.25" customHeight="1" x14ac:dyDescent="0.25">
      <c r="A57" s="18">
        <f t="shared" si="2"/>
        <v>37</v>
      </c>
      <c r="B57" s="122" t="s">
        <v>56</v>
      </c>
      <c r="C57" s="122"/>
      <c r="D57" s="122"/>
      <c r="E57" s="122"/>
      <c r="F57" s="112" t="s">
        <v>57</v>
      </c>
      <c r="G57" s="112"/>
      <c r="H57" s="112"/>
      <c r="I57" s="22">
        <f>I32*1/100</f>
        <v>174367.09606999997</v>
      </c>
      <c r="J57" s="6"/>
      <c r="K57" s="27"/>
      <c r="L57" s="34"/>
      <c r="M57" s="27"/>
      <c r="N57" s="24"/>
    </row>
    <row r="58" spans="1:21" s="7" customFormat="1" ht="38.25" customHeight="1" x14ac:dyDescent="0.25">
      <c r="A58" s="18">
        <f t="shared" si="2"/>
        <v>38</v>
      </c>
      <c r="B58" s="109" t="s">
        <v>93</v>
      </c>
      <c r="C58" s="110"/>
      <c r="D58" s="110"/>
      <c r="E58" s="111"/>
      <c r="F58" s="112" t="s">
        <v>57</v>
      </c>
      <c r="G58" s="112"/>
      <c r="H58" s="112"/>
      <c r="I58" s="22">
        <f>I32*3%</f>
        <v>523101.28820999991</v>
      </c>
      <c r="J58" s="6"/>
      <c r="K58" s="48"/>
      <c r="L58" s="34"/>
      <c r="M58" s="27"/>
      <c r="N58" s="24"/>
    </row>
    <row r="59" spans="1:21" s="7" customFormat="1" ht="42" customHeight="1" x14ac:dyDescent="0.25">
      <c r="A59" s="18"/>
      <c r="B59" s="112" t="s">
        <v>58</v>
      </c>
      <c r="C59" s="112"/>
      <c r="D59" s="112"/>
      <c r="E59" s="112"/>
      <c r="F59" s="112"/>
      <c r="G59" s="112"/>
      <c r="H59" s="112"/>
      <c r="I59" s="32">
        <f>SUM(I32:I58)</f>
        <v>27843994.441279996</v>
      </c>
      <c r="J59" s="6"/>
      <c r="K59" s="32">
        <v>389748.01</v>
      </c>
      <c r="L59" s="34"/>
      <c r="U59" s="37" t="e">
        <f>#REF!*#REF!</f>
        <v>#REF!</v>
      </c>
    </row>
    <row r="60" spans="1:21" s="7" customFormat="1" ht="31.5" customHeight="1" x14ac:dyDescent="0.25">
      <c r="A60" s="18">
        <f>A58+1</f>
        <v>39</v>
      </c>
      <c r="B60" s="162" t="s">
        <v>59</v>
      </c>
      <c r="C60" s="163"/>
      <c r="D60" s="163"/>
      <c r="E60" s="164"/>
      <c r="F60" s="116"/>
      <c r="G60" s="117"/>
      <c r="H60" s="118"/>
      <c r="I60" s="22">
        <f>I59*12%</f>
        <v>3341279.3329535993</v>
      </c>
      <c r="J60" s="6"/>
      <c r="K60" s="22">
        <f>K59*12%</f>
        <v>46769.761200000001</v>
      </c>
      <c r="L60" s="34"/>
      <c r="N60" s="26"/>
      <c r="U60" s="37"/>
    </row>
    <row r="61" spans="1:21" s="7" customFormat="1" ht="42" customHeight="1" x14ac:dyDescent="0.25">
      <c r="A61" s="18"/>
      <c r="B61" s="112" t="s">
        <v>60</v>
      </c>
      <c r="C61" s="112"/>
      <c r="D61" s="112"/>
      <c r="E61" s="112"/>
      <c r="F61" s="112"/>
      <c r="G61" s="112"/>
      <c r="H61" s="112"/>
      <c r="I61" s="32">
        <f>SUM(I59:I60)</f>
        <v>31185273.774233595</v>
      </c>
      <c r="J61" s="6"/>
      <c r="K61" s="32">
        <f>SUM(K59:K60)</f>
        <v>436517.77120000002</v>
      </c>
      <c r="L61" s="34"/>
      <c r="N61" s="26"/>
      <c r="U61" s="37"/>
    </row>
    <row r="62" spans="1:21" s="7" customFormat="1" ht="47.25" customHeight="1" x14ac:dyDescent="0.25">
      <c r="A62" s="18">
        <f>A60+1</f>
        <v>40</v>
      </c>
      <c r="B62" s="161" t="s">
        <v>61</v>
      </c>
      <c r="C62" s="161"/>
      <c r="D62" s="161"/>
      <c r="E62" s="161"/>
      <c r="F62" s="98" t="s">
        <v>62</v>
      </c>
      <c r="G62" s="98"/>
      <c r="H62" s="98"/>
      <c r="I62" s="38">
        <f>I61*1%</f>
        <v>311852.73774233594</v>
      </c>
      <c r="J62" s="11"/>
      <c r="K62" s="38">
        <f>K61*1%</f>
        <v>4365.1777120000006</v>
      </c>
      <c r="L62" s="34"/>
      <c r="M62" s="27"/>
      <c r="N62" s="24"/>
    </row>
    <row r="63" spans="1:21" s="7" customFormat="1" ht="58.5" customHeight="1" x14ac:dyDescent="0.25">
      <c r="A63" s="18">
        <f>A62+1</f>
        <v>41</v>
      </c>
      <c r="B63" s="92" t="s">
        <v>63</v>
      </c>
      <c r="C63" s="92"/>
      <c r="D63" s="92"/>
      <c r="E63" s="92"/>
      <c r="F63" s="98" t="s">
        <v>62</v>
      </c>
      <c r="G63" s="98"/>
      <c r="H63" s="98"/>
      <c r="I63" s="38">
        <f>I61*2.5%</f>
        <v>779631.84435583989</v>
      </c>
      <c r="J63" s="6"/>
      <c r="K63" s="38">
        <f>K61*2.5%</f>
        <v>10912.944280000002</v>
      </c>
      <c r="L63" s="34"/>
      <c r="M63" s="27"/>
      <c r="N63" s="24"/>
    </row>
    <row r="64" spans="1:21" s="7" customFormat="1" ht="35.25" customHeight="1" x14ac:dyDescent="0.25">
      <c r="A64" s="18">
        <f>A63+1</f>
        <v>42</v>
      </c>
      <c r="B64" s="84" t="s">
        <v>64</v>
      </c>
      <c r="C64" s="84"/>
      <c r="D64" s="84"/>
      <c r="E64" s="84"/>
      <c r="F64" s="93" t="s">
        <v>65</v>
      </c>
      <c r="G64" s="93"/>
      <c r="H64" s="93"/>
      <c r="I64" s="39">
        <f>I61*7.5%</f>
        <v>2338895.5330675193</v>
      </c>
      <c r="J64" s="6"/>
      <c r="K64" s="39">
        <f>K61*7.5%</f>
        <v>32738.832839999999</v>
      </c>
      <c r="L64" s="34"/>
      <c r="M64" s="27"/>
      <c r="N64" s="24"/>
    </row>
    <row r="65" spans="1:14" s="7" customFormat="1" ht="39" customHeight="1" x14ac:dyDescent="0.25">
      <c r="A65" s="18">
        <f>A64+1</f>
        <v>43</v>
      </c>
      <c r="B65" s="158" t="s">
        <v>66</v>
      </c>
      <c r="C65" s="159"/>
      <c r="D65" s="159"/>
      <c r="E65" s="160"/>
      <c r="F65" s="98" t="s">
        <v>62</v>
      </c>
      <c r="G65" s="98"/>
      <c r="H65" s="98"/>
      <c r="I65" s="39">
        <f>I61*5%</f>
        <v>1559263.6887116798</v>
      </c>
      <c r="J65" s="6"/>
      <c r="K65" s="39">
        <f>K61*5%</f>
        <v>21825.888560000003</v>
      </c>
      <c r="L65" s="34"/>
      <c r="M65" s="27"/>
      <c r="N65" s="24"/>
    </row>
    <row r="66" spans="1:14" s="7" customFormat="1" ht="41.25" customHeight="1" x14ac:dyDescent="0.25">
      <c r="A66" s="18"/>
      <c r="B66" s="86" t="s">
        <v>67</v>
      </c>
      <c r="C66" s="86"/>
      <c r="D66" s="86"/>
      <c r="E66" s="86"/>
      <c r="F66" s="86"/>
      <c r="G66" s="86"/>
      <c r="H66" s="86"/>
      <c r="I66" s="32">
        <f>SUM(I61:I65)</f>
        <v>36174917.578110971</v>
      </c>
      <c r="J66" s="6"/>
      <c r="K66" s="32">
        <f>SUM(K61:K65)</f>
        <v>506360.61459199997</v>
      </c>
      <c r="L66" s="34"/>
      <c r="M66" s="40"/>
      <c r="N66" s="24"/>
    </row>
    <row r="67" spans="1:14" s="7" customFormat="1" ht="36.75" customHeight="1" x14ac:dyDescent="0.25">
      <c r="A67" s="18">
        <f>A65+1</f>
        <v>44</v>
      </c>
      <c r="B67" s="84" t="s">
        <v>68</v>
      </c>
      <c r="C67" s="84"/>
      <c r="D67" s="84"/>
      <c r="E67" s="84"/>
      <c r="F67" s="99" t="s">
        <v>97</v>
      </c>
      <c r="G67" s="99"/>
      <c r="H67" s="99"/>
      <c r="I67" s="22">
        <v>13000</v>
      </c>
      <c r="J67" s="6"/>
      <c r="K67" s="27"/>
      <c r="L67" s="34"/>
      <c r="M67" s="40"/>
      <c r="N67" s="24"/>
    </row>
    <row r="68" spans="1:14" s="7" customFormat="1" ht="36.75" customHeight="1" x14ac:dyDescent="0.25">
      <c r="A68" s="18">
        <f t="shared" si="2"/>
        <v>45</v>
      </c>
      <c r="B68" s="84" t="s">
        <v>69</v>
      </c>
      <c r="C68" s="84"/>
      <c r="D68" s="84"/>
      <c r="E68" s="84"/>
      <c r="F68" s="93" t="s">
        <v>43</v>
      </c>
      <c r="G68" s="93"/>
      <c r="H68" s="93"/>
      <c r="I68" s="22">
        <v>212000</v>
      </c>
      <c r="J68" s="6"/>
      <c r="K68" s="27"/>
      <c r="L68" s="34"/>
      <c r="M68" s="27"/>
      <c r="N68" s="24"/>
    </row>
    <row r="69" spans="1:14" s="7" customFormat="1" ht="36.75" customHeight="1" x14ac:dyDescent="0.25">
      <c r="A69" s="18">
        <f t="shared" si="2"/>
        <v>46</v>
      </c>
      <c r="B69" s="92" t="s">
        <v>70</v>
      </c>
      <c r="C69" s="92"/>
      <c r="D69" s="92"/>
      <c r="E69" s="92"/>
      <c r="F69" s="93" t="s">
        <v>43</v>
      </c>
      <c r="G69" s="93"/>
      <c r="H69" s="93"/>
      <c r="I69" s="22">
        <v>200000</v>
      </c>
      <c r="J69" s="6"/>
      <c r="K69" s="27"/>
      <c r="L69" s="34"/>
      <c r="M69" s="27"/>
      <c r="N69" s="24"/>
    </row>
    <row r="70" spans="1:14" s="7" customFormat="1" ht="36.75" customHeight="1" x14ac:dyDescent="0.25">
      <c r="A70" s="18">
        <f t="shared" si="2"/>
        <v>47</v>
      </c>
      <c r="B70" s="92" t="s">
        <v>85</v>
      </c>
      <c r="C70" s="92"/>
      <c r="D70" s="92"/>
      <c r="E70" s="92"/>
      <c r="F70" s="93" t="s">
        <v>43</v>
      </c>
      <c r="G70" s="93"/>
      <c r="H70" s="93"/>
      <c r="I70" s="22">
        <v>600000</v>
      </c>
      <c r="J70" s="6"/>
      <c r="K70" s="27"/>
      <c r="L70" s="34"/>
      <c r="M70" s="27"/>
      <c r="N70" s="24"/>
    </row>
    <row r="71" spans="1:14" s="7" customFormat="1" ht="49.5" customHeight="1" x14ac:dyDescent="0.25">
      <c r="A71" s="18">
        <f t="shared" si="2"/>
        <v>48</v>
      </c>
      <c r="B71" s="94" t="s">
        <v>71</v>
      </c>
      <c r="C71" s="94"/>
      <c r="D71" s="94"/>
      <c r="E71" s="94"/>
      <c r="F71" s="93" t="s">
        <v>43</v>
      </c>
      <c r="G71" s="93"/>
      <c r="H71" s="93"/>
      <c r="I71" s="22">
        <v>500000</v>
      </c>
      <c r="J71" s="6"/>
      <c r="K71" s="27"/>
      <c r="L71" s="34"/>
      <c r="M71" s="27"/>
      <c r="N71" s="24"/>
    </row>
    <row r="72" spans="1:14" s="7" customFormat="1" ht="42.75" customHeight="1" x14ac:dyDescent="0.25">
      <c r="A72" s="18">
        <f t="shared" si="2"/>
        <v>49</v>
      </c>
      <c r="B72" s="84" t="s">
        <v>72</v>
      </c>
      <c r="C72" s="84"/>
      <c r="D72" s="84"/>
      <c r="E72" s="84"/>
      <c r="F72" s="85" t="s">
        <v>73</v>
      </c>
      <c r="G72" s="85"/>
      <c r="H72" s="85"/>
      <c r="I72" s="22">
        <v>100000</v>
      </c>
      <c r="J72" s="6"/>
      <c r="K72" s="27"/>
      <c r="L72" s="34"/>
      <c r="M72" s="27"/>
      <c r="N72" s="24"/>
    </row>
    <row r="73" spans="1:14" s="7" customFormat="1" ht="39.75" customHeight="1" x14ac:dyDescent="0.25">
      <c r="A73" s="18"/>
      <c r="B73" s="86" t="s">
        <v>74</v>
      </c>
      <c r="C73" s="86"/>
      <c r="D73" s="86"/>
      <c r="E73" s="86"/>
      <c r="F73" s="86"/>
      <c r="G73" s="86"/>
      <c r="H73" s="86"/>
      <c r="I73" s="32">
        <f>SUM(I66:I72)</f>
        <v>37799917.578110971</v>
      </c>
      <c r="J73" s="11">
        <f>D8+D9</f>
        <v>793.41</v>
      </c>
      <c r="K73" s="27"/>
      <c r="L73" s="34"/>
      <c r="M73" s="40"/>
      <c r="N73" s="24"/>
    </row>
    <row r="74" spans="1:14" s="7" customFormat="1" ht="34.5" customHeight="1" x14ac:dyDescent="0.25">
      <c r="A74" s="87" t="s">
        <v>98</v>
      </c>
      <c r="B74" s="88"/>
      <c r="C74" s="88"/>
      <c r="D74" s="88"/>
      <c r="E74" s="89"/>
      <c r="F74" s="41" t="s">
        <v>75</v>
      </c>
      <c r="G74" s="41">
        <f>I73/100000</f>
        <v>377.99917578110973</v>
      </c>
      <c r="H74" s="42" t="s">
        <v>76</v>
      </c>
      <c r="I74" s="43"/>
      <c r="J74" s="6">
        <f>J73*10.764</f>
        <v>8540.2652399999988</v>
      </c>
      <c r="K74" s="27"/>
      <c r="L74" s="34"/>
      <c r="M74" s="40"/>
      <c r="N74" s="24"/>
    </row>
    <row r="75" spans="1:14" s="47" customFormat="1" ht="34.5" customHeight="1" x14ac:dyDescent="0.25">
      <c r="A75" s="44"/>
      <c r="B75" s="90" t="s">
        <v>86</v>
      </c>
      <c r="C75" s="91"/>
      <c r="D75" s="91"/>
      <c r="E75" s="91"/>
      <c r="F75" s="45" t="str">
        <f>F74</f>
        <v xml:space="preserve">Say Rs. </v>
      </c>
      <c r="G75" s="41">
        <f>(G74*12.5%)+G74</f>
        <v>425.24907275374846</v>
      </c>
      <c r="H75" s="46" t="str">
        <f>H74</f>
        <v>Lakhs</v>
      </c>
      <c r="I75" s="43"/>
      <c r="J75" s="47">
        <f>I73/J74</f>
        <v>4426.082389229281</v>
      </c>
      <c r="K75" s="48">
        <f>G74*12.5%</f>
        <v>47.249896972638716</v>
      </c>
      <c r="L75" s="49">
        <f>K75+G74</f>
        <v>425.24907275374846</v>
      </c>
      <c r="M75" s="50"/>
      <c r="N75" s="24"/>
    </row>
    <row r="76" spans="1:14" s="47" customFormat="1" ht="40.5" customHeight="1" x14ac:dyDescent="0.25">
      <c r="A76" s="44"/>
      <c r="B76" s="90" t="s">
        <v>77</v>
      </c>
      <c r="C76" s="91"/>
      <c r="D76" s="91"/>
      <c r="E76" s="91"/>
      <c r="F76" s="51" t="s">
        <v>75</v>
      </c>
      <c r="G76" s="52">
        <f>G75*12.5%+G75</f>
        <v>478.40520684796701</v>
      </c>
      <c r="H76" s="53" t="s">
        <v>76</v>
      </c>
      <c r="I76" s="54"/>
      <c r="J76" s="48">
        <f>378-G74</f>
        <v>8.242188902727321E-4</v>
      </c>
      <c r="K76" s="48">
        <f>G75*12.5%</f>
        <v>53.156134094218558</v>
      </c>
      <c r="L76" s="49">
        <f>K76+G75</f>
        <v>478.40520684796701</v>
      </c>
      <c r="M76" s="50"/>
      <c r="N76" s="24"/>
    </row>
    <row r="77" spans="1:14" s="47" customFormat="1" ht="38.1" customHeight="1" x14ac:dyDescent="0.25">
      <c r="A77" s="55"/>
      <c r="B77" s="55"/>
      <c r="C77" s="55"/>
      <c r="D77" s="55"/>
      <c r="E77" s="56">
        <f>G74-263</f>
        <v>114.99917578110973</v>
      </c>
      <c r="F77" s="55"/>
      <c r="G77" s="56"/>
      <c r="H77" s="55"/>
      <c r="I77" s="55"/>
      <c r="K77" s="48"/>
      <c r="L77" s="49"/>
      <c r="M77" s="50"/>
      <c r="N77" s="24"/>
    </row>
    <row r="78" spans="1:14" s="47" customFormat="1" ht="38.1" customHeight="1" x14ac:dyDescent="0.25">
      <c r="A78" s="55"/>
      <c r="B78" s="55"/>
      <c r="C78" s="55"/>
      <c r="D78" s="55"/>
      <c r="E78" s="55"/>
      <c r="F78" s="55"/>
      <c r="G78" s="56">
        <f>I73/8847</f>
        <v>4272.6254750888402</v>
      </c>
      <c r="H78" s="55"/>
      <c r="I78" s="55"/>
      <c r="K78" s="48"/>
      <c r="L78" s="49"/>
      <c r="M78" s="50"/>
      <c r="N78" s="24"/>
    </row>
    <row r="79" spans="1:14" s="47" customFormat="1" ht="38.1" customHeight="1" x14ac:dyDescent="0.25">
      <c r="A79" s="55"/>
      <c r="B79" s="55"/>
      <c r="C79" s="55"/>
      <c r="D79" s="55"/>
      <c r="E79" s="55"/>
      <c r="F79" s="55"/>
      <c r="G79" s="56"/>
      <c r="H79" s="55"/>
      <c r="I79" s="55"/>
      <c r="K79" s="48"/>
      <c r="L79" s="49"/>
      <c r="M79" s="50"/>
      <c r="N79" s="24"/>
    </row>
    <row r="80" spans="1:14" s="47" customFormat="1" ht="38.1" customHeight="1" x14ac:dyDescent="0.25">
      <c r="A80" s="55"/>
      <c r="B80" s="55"/>
      <c r="C80" s="55"/>
      <c r="D80" s="55"/>
      <c r="E80" s="55"/>
      <c r="F80" s="55"/>
      <c r="G80" s="56"/>
      <c r="H80" s="55"/>
      <c r="I80" s="55"/>
      <c r="K80" s="48"/>
      <c r="L80" s="49"/>
      <c r="M80" s="50"/>
      <c r="N80" s="24"/>
    </row>
    <row r="81" spans="1:17" s="47" customFormat="1" ht="38.1" customHeight="1" x14ac:dyDescent="0.25">
      <c r="A81" s="55"/>
      <c r="B81" s="55"/>
      <c r="C81" s="55"/>
      <c r="D81" s="55"/>
      <c r="E81" s="55"/>
      <c r="F81" s="55"/>
      <c r="G81" s="56"/>
      <c r="H81" s="55"/>
      <c r="I81" s="55"/>
      <c r="K81" s="48"/>
      <c r="L81" s="49"/>
      <c r="M81" s="50"/>
      <c r="N81" s="24"/>
    </row>
    <row r="82" spans="1:17" s="47" customFormat="1" ht="38.1" customHeight="1" x14ac:dyDescent="0.25">
      <c r="A82" s="55"/>
      <c r="B82" s="55"/>
      <c r="C82" s="55"/>
      <c r="D82" s="55"/>
      <c r="E82" s="55"/>
      <c r="F82" s="55"/>
      <c r="G82" s="56"/>
      <c r="H82" s="55"/>
      <c r="I82" s="55"/>
      <c r="K82" s="48"/>
      <c r="L82" s="49"/>
      <c r="M82" s="50"/>
      <c r="N82" s="24"/>
    </row>
    <row r="83" spans="1:17" s="47" customFormat="1" ht="38.1" customHeight="1" x14ac:dyDescent="0.25">
      <c r="A83" s="55"/>
      <c r="B83" s="55"/>
      <c r="C83" s="55"/>
      <c r="D83" s="55"/>
      <c r="E83" s="55"/>
      <c r="F83" s="55"/>
      <c r="G83" s="56"/>
      <c r="H83" s="55"/>
      <c r="I83" s="55"/>
      <c r="K83" s="48"/>
      <c r="L83" s="49"/>
      <c r="M83" s="50"/>
      <c r="N83" s="24"/>
    </row>
    <row r="84" spans="1:17" s="47" customFormat="1" ht="38.1" customHeight="1" x14ac:dyDescent="0.25">
      <c r="A84" s="55"/>
      <c r="B84" s="55"/>
      <c r="C84" s="55"/>
      <c r="D84" s="55"/>
      <c r="E84" s="55"/>
      <c r="F84" s="55"/>
      <c r="G84" s="56"/>
      <c r="H84" s="55"/>
      <c r="I84" s="55"/>
      <c r="K84" s="48"/>
      <c r="L84" s="49"/>
      <c r="M84" s="50"/>
      <c r="N84" s="24"/>
    </row>
    <row r="85" spans="1:17" s="47" customFormat="1" ht="38.1" customHeight="1" x14ac:dyDescent="0.25">
      <c r="A85" s="55"/>
      <c r="B85" s="55"/>
      <c r="C85" s="55"/>
      <c r="D85" s="55"/>
      <c r="E85" s="55"/>
      <c r="F85" s="55"/>
      <c r="G85" s="56"/>
      <c r="H85" s="55"/>
      <c r="I85" s="55"/>
      <c r="K85" s="48"/>
      <c r="L85" s="49"/>
      <c r="M85" s="50"/>
      <c r="N85" s="24"/>
    </row>
    <row r="86" spans="1:17" s="47" customFormat="1" ht="38.1" customHeight="1" x14ac:dyDescent="0.25">
      <c r="A86" s="55"/>
      <c r="B86" s="55"/>
      <c r="C86" s="55"/>
      <c r="D86" s="55"/>
      <c r="E86" s="55"/>
      <c r="F86" s="55"/>
      <c r="G86" s="56"/>
      <c r="H86" s="55"/>
      <c r="I86" s="55"/>
      <c r="K86" s="48"/>
      <c r="L86" s="49"/>
      <c r="M86" s="50"/>
      <c r="N86" s="24"/>
    </row>
    <row r="87" spans="1:17" s="47" customFormat="1" ht="38.1" customHeight="1" x14ac:dyDescent="0.25">
      <c r="A87" s="55"/>
      <c r="B87" s="55"/>
      <c r="C87" s="55"/>
      <c r="D87" s="55"/>
      <c r="E87" s="55"/>
      <c r="F87" s="55"/>
      <c r="G87" s="56"/>
      <c r="H87" s="55"/>
      <c r="I87" s="55"/>
      <c r="K87" s="48"/>
      <c r="L87" s="49"/>
      <c r="M87" s="50"/>
      <c r="N87" s="24"/>
    </row>
    <row r="88" spans="1:17" s="47" customFormat="1" ht="38.1" customHeight="1" x14ac:dyDescent="0.25">
      <c r="A88" s="55"/>
      <c r="B88" s="55"/>
      <c r="C88" s="55"/>
      <c r="D88" s="55"/>
      <c r="E88" s="55"/>
      <c r="F88" s="55"/>
      <c r="G88" s="56"/>
      <c r="H88" s="55"/>
      <c r="I88" s="55"/>
      <c r="K88" s="48"/>
      <c r="L88" s="49"/>
      <c r="M88" s="50"/>
      <c r="N88" s="24"/>
    </row>
    <row r="89" spans="1:17" s="47" customFormat="1" ht="38.1" customHeight="1" x14ac:dyDescent="0.25">
      <c r="A89" s="55"/>
      <c r="B89" s="55"/>
      <c r="C89" s="55"/>
      <c r="D89" s="55"/>
      <c r="E89" s="55"/>
      <c r="F89" s="55"/>
      <c r="G89" s="56"/>
      <c r="H89" s="55"/>
      <c r="I89" s="55"/>
      <c r="K89" s="48"/>
      <c r="L89" s="49"/>
      <c r="M89" s="50"/>
      <c r="N89" s="24"/>
    </row>
    <row r="90" spans="1:17" s="47" customFormat="1" ht="38.1" customHeight="1" x14ac:dyDescent="0.25">
      <c r="A90" s="55"/>
      <c r="B90" s="55"/>
      <c r="C90" s="55"/>
      <c r="D90" s="55"/>
      <c r="E90" s="55"/>
      <c r="F90" s="55"/>
      <c r="G90" s="56"/>
      <c r="H90" s="55"/>
      <c r="I90" s="55"/>
      <c r="K90" s="48"/>
      <c r="L90" s="49"/>
      <c r="M90" s="50"/>
      <c r="N90" s="24"/>
    </row>
    <row r="91" spans="1:17" s="59" customFormat="1" ht="38.1" customHeight="1" x14ac:dyDescent="0.25">
      <c r="A91" s="57"/>
      <c r="B91" s="57"/>
      <c r="C91" s="57"/>
      <c r="D91" s="57"/>
      <c r="E91" s="57"/>
      <c r="F91" s="57"/>
      <c r="G91" s="58"/>
      <c r="H91" s="57"/>
      <c r="I91" s="57"/>
      <c r="K91" s="60"/>
      <c r="L91" s="61"/>
      <c r="M91" s="62"/>
      <c r="N91" s="63"/>
    </row>
    <row r="92" spans="1:17" s="59" customFormat="1" ht="38.1" customHeight="1" x14ac:dyDescent="0.25">
      <c r="A92" s="57"/>
      <c r="B92" s="57"/>
      <c r="C92" s="57"/>
      <c r="D92" s="57"/>
      <c r="E92" s="57"/>
      <c r="F92" s="57"/>
      <c r="G92" s="58"/>
      <c r="H92" s="57"/>
      <c r="I92" s="57"/>
      <c r="K92" s="60"/>
      <c r="L92" s="61"/>
      <c r="M92" s="62"/>
      <c r="N92" s="63"/>
    </row>
    <row r="93" spans="1:17" s="66" customFormat="1" ht="38.1" customHeight="1" x14ac:dyDescent="0.25">
      <c r="A93" s="64"/>
      <c r="B93" s="64"/>
      <c r="C93" s="64"/>
      <c r="D93" s="64"/>
      <c r="E93" s="64"/>
      <c r="F93" s="64"/>
      <c r="G93" s="65"/>
      <c r="H93" s="64"/>
      <c r="I93" s="64"/>
      <c r="K93" s="67"/>
      <c r="L93" s="68"/>
      <c r="M93" s="69"/>
      <c r="N93" s="70"/>
    </row>
    <row r="94" spans="1:17" s="66" customFormat="1" ht="38.1" customHeight="1" x14ac:dyDescent="0.25">
      <c r="A94" s="64"/>
      <c r="B94" s="64"/>
      <c r="C94" s="64"/>
      <c r="D94" s="64"/>
      <c r="E94" s="64"/>
      <c r="F94" s="64"/>
      <c r="G94" s="65"/>
      <c r="H94" s="64"/>
      <c r="I94" s="64"/>
      <c r="K94" s="67"/>
      <c r="L94" s="68"/>
      <c r="M94" s="69"/>
      <c r="N94" s="70"/>
    </row>
    <row r="95" spans="1:17" x14ac:dyDescent="0.25">
      <c r="A95" s="82">
        <f>I73*10/100</f>
        <v>3779991.757811097</v>
      </c>
      <c r="B95" s="82"/>
      <c r="C95" s="82"/>
      <c r="D95" s="82"/>
      <c r="E95" s="82"/>
      <c r="F95" s="82"/>
      <c r="G95" s="82"/>
      <c r="H95" s="82"/>
      <c r="I95" s="82"/>
      <c r="K95" s="71">
        <f t="shared" ref="K95:L99" si="3">F95</f>
        <v>0</v>
      </c>
      <c r="L95" s="72">
        <f t="shared" si="3"/>
        <v>0</v>
      </c>
      <c r="M95" s="1">
        <f>L95*K95</f>
        <v>0</v>
      </c>
      <c r="N95" s="70">
        <f t="shared" ref="N95:N112" si="4">+I95-M95</f>
        <v>0</v>
      </c>
    </row>
    <row r="96" spans="1:17" x14ac:dyDescent="0.25">
      <c r="A96" s="83"/>
      <c r="B96" s="83"/>
      <c r="C96" s="83"/>
      <c r="D96" s="83"/>
      <c r="E96" s="83"/>
      <c r="F96" s="83"/>
      <c r="G96" s="83"/>
      <c r="H96" s="83"/>
      <c r="I96" s="83"/>
      <c r="K96" s="71">
        <f t="shared" si="3"/>
        <v>0</v>
      </c>
      <c r="L96" s="72">
        <f t="shared" si="3"/>
        <v>0</v>
      </c>
      <c r="M96" s="1">
        <f>L96*K96</f>
        <v>0</v>
      </c>
      <c r="N96" s="70">
        <f t="shared" si="4"/>
        <v>0</v>
      </c>
      <c r="Q96" s="1">
        <f>2708-270</f>
        <v>2438</v>
      </c>
    </row>
    <row r="97" spans="1:14" x14ac:dyDescent="0.25">
      <c r="A97" s="83"/>
      <c r="B97" s="83"/>
      <c r="C97" s="83"/>
      <c r="D97" s="83"/>
      <c r="E97" s="83"/>
      <c r="F97" s="83"/>
      <c r="G97" s="83"/>
      <c r="H97" s="83"/>
      <c r="I97" s="83"/>
      <c r="J97" s="1">
        <f>J74/10.76</f>
        <v>793.70494795539025</v>
      </c>
      <c r="K97" s="71">
        <f t="shared" si="3"/>
        <v>0</v>
      </c>
      <c r="L97" s="72">
        <f t="shared" si="3"/>
        <v>0</v>
      </c>
      <c r="N97" s="70">
        <f t="shared" si="4"/>
        <v>0</v>
      </c>
    </row>
    <row r="98" spans="1:14" x14ac:dyDescent="0.25">
      <c r="A98" s="83"/>
      <c r="B98" s="83"/>
      <c r="C98" s="83"/>
      <c r="D98" s="83"/>
      <c r="E98" s="83"/>
      <c r="F98" s="83"/>
      <c r="G98" s="83"/>
      <c r="H98" s="83"/>
      <c r="I98" s="83"/>
      <c r="K98" s="71">
        <f t="shared" si="3"/>
        <v>0</v>
      </c>
      <c r="L98" s="72">
        <f t="shared" si="3"/>
        <v>0</v>
      </c>
      <c r="N98" s="70">
        <f t="shared" si="4"/>
        <v>0</v>
      </c>
    </row>
    <row r="99" spans="1:14" x14ac:dyDescent="0.25">
      <c r="A99" s="83"/>
      <c r="B99" s="83"/>
      <c r="C99" s="83"/>
      <c r="D99" s="83"/>
      <c r="E99" s="83"/>
      <c r="F99" s="83"/>
      <c r="G99" s="83"/>
      <c r="H99" s="83"/>
      <c r="I99" s="83"/>
      <c r="K99" s="71">
        <f t="shared" si="3"/>
        <v>0</v>
      </c>
      <c r="L99" s="72">
        <f t="shared" si="3"/>
        <v>0</v>
      </c>
      <c r="N99" s="70">
        <f t="shared" si="4"/>
        <v>0</v>
      </c>
    </row>
    <row r="100" spans="1:14" x14ac:dyDescent="0.25">
      <c r="A100" s="83"/>
      <c r="B100" s="83"/>
      <c r="C100" s="83"/>
      <c r="D100" s="83"/>
      <c r="E100" s="83"/>
      <c r="F100" s="83"/>
      <c r="G100" s="83"/>
      <c r="H100" s="83"/>
      <c r="I100" s="83"/>
      <c r="K100" s="71">
        <f>F100</f>
        <v>0</v>
      </c>
      <c r="N100" s="70">
        <f t="shared" si="4"/>
        <v>0</v>
      </c>
    </row>
    <row r="101" spans="1:14" x14ac:dyDescent="0.25">
      <c r="A101" s="83"/>
      <c r="B101" s="83"/>
      <c r="C101" s="83"/>
      <c r="D101" s="83"/>
      <c r="E101" s="83"/>
      <c r="F101" s="83"/>
      <c r="G101" s="83"/>
      <c r="H101" s="83"/>
      <c r="I101" s="83"/>
      <c r="K101" s="71">
        <f>F101</f>
        <v>0</v>
      </c>
      <c r="N101" s="70">
        <f t="shared" si="4"/>
        <v>0</v>
      </c>
    </row>
    <row r="102" spans="1:14" x14ac:dyDescent="0.25">
      <c r="A102" s="83"/>
      <c r="B102" s="83"/>
      <c r="C102" s="83"/>
      <c r="D102" s="83"/>
      <c r="E102" s="83"/>
      <c r="F102" s="83"/>
      <c r="G102" s="83"/>
      <c r="H102" s="83"/>
      <c r="I102" s="83"/>
      <c r="K102" s="71">
        <f>F102</f>
        <v>0</v>
      </c>
      <c r="N102" s="70">
        <f t="shared" si="4"/>
        <v>0</v>
      </c>
    </row>
    <row r="103" spans="1:14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K103" s="71">
        <f>F103</f>
        <v>0</v>
      </c>
      <c r="N103" s="70">
        <f t="shared" si="4"/>
        <v>0</v>
      </c>
    </row>
    <row r="104" spans="1:14" x14ac:dyDescent="0.25">
      <c r="A104" s="83"/>
      <c r="B104" s="83"/>
      <c r="C104" s="83"/>
      <c r="D104" s="83"/>
      <c r="E104" s="83"/>
      <c r="F104" s="83"/>
      <c r="G104" s="83"/>
      <c r="H104" s="83"/>
      <c r="I104" s="83"/>
      <c r="J104" s="1" t="s">
        <v>78</v>
      </c>
      <c r="K104" s="71">
        <f>F104</f>
        <v>0</v>
      </c>
      <c r="N104" s="70">
        <f t="shared" si="4"/>
        <v>0</v>
      </c>
    </row>
    <row r="105" spans="1:14" x14ac:dyDescent="0.25">
      <c r="A105" s="83"/>
      <c r="B105" s="83"/>
      <c r="C105" s="83"/>
      <c r="D105" s="83"/>
      <c r="E105" s="83"/>
      <c r="F105" s="83"/>
      <c r="G105" s="83"/>
      <c r="H105" s="83"/>
      <c r="I105" s="83"/>
      <c r="J105" s="73"/>
      <c r="N105" s="70">
        <f t="shared" si="4"/>
        <v>0</v>
      </c>
    </row>
    <row r="106" spans="1:14" x14ac:dyDescent="0.25">
      <c r="A106" s="83"/>
      <c r="B106" s="83"/>
      <c r="C106" s="83"/>
      <c r="D106" s="83"/>
      <c r="E106" s="83"/>
      <c r="F106" s="83"/>
      <c r="G106" s="83"/>
      <c r="H106" s="83"/>
      <c r="I106" s="83"/>
      <c r="N106" s="70">
        <f t="shared" si="4"/>
        <v>0</v>
      </c>
    </row>
    <row r="107" spans="1:14" x14ac:dyDescent="0.25">
      <c r="A107" s="83"/>
      <c r="B107" s="83"/>
      <c r="C107" s="83"/>
      <c r="D107" s="83"/>
      <c r="E107" s="83"/>
      <c r="F107" s="83"/>
      <c r="G107" s="83"/>
      <c r="H107" s="83"/>
      <c r="I107" s="83"/>
      <c r="N107" s="70">
        <f t="shared" si="4"/>
        <v>0</v>
      </c>
    </row>
    <row r="108" spans="1:14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N108" s="70">
        <f t="shared" si="4"/>
        <v>0</v>
      </c>
    </row>
    <row r="109" spans="1:14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N109" s="70">
        <f t="shared" si="4"/>
        <v>0</v>
      </c>
    </row>
    <row r="110" spans="1:14" x14ac:dyDescent="0.25">
      <c r="A110" s="83"/>
      <c r="B110" s="83"/>
      <c r="C110" s="83"/>
      <c r="D110" s="83"/>
      <c r="E110" s="83"/>
      <c r="F110" s="83"/>
      <c r="G110" s="83"/>
      <c r="H110" s="83"/>
      <c r="I110" s="83"/>
      <c r="N110" s="70">
        <f t="shared" si="4"/>
        <v>0</v>
      </c>
    </row>
    <row r="111" spans="1:14" x14ac:dyDescent="0.25">
      <c r="A111" s="83"/>
      <c r="B111" s="83"/>
      <c r="C111" s="83"/>
      <c r="D111" s="83"/>
      <c r="E111" s="83"/>
      <c r="F111" s="83"/>
      <c r="G111" s="83"/>
      <c r="H111" s="83"/>
      <c r="I111" s="83"/>
      <c r="N111" s="70">
        <f t="shared" si="4"/>
        <v>0</v>
      </c>
    </row>
    <row r="112" spans="1:14" x14ac:dyDescent="0.25">
      <c r="A112" s="83"/>
      <c r="B112" s="83"/>
      <c r="C112" s="83"/>
      <c r="D112" s="83"/>
      <c r="E112" s="83"/>
      <c r="F112" s="83"/>
      <c r="G112" s="83"/>
      <c r="H112" s="83"/>
      <c r="I112" s="83"/>
      <c r="N112" s="70">
        <f t="shared" si="4"/>
        <v>0</v>
      </c>
    </row>
    <row r="113" spans="1:9" x14ac:dyDescent="0.25">
      <c r="A113" s="83"/>
      <c r="B113" s="83"/>
      <c r="C113" s="83"/>
      <c r="D113" s="83"/>
      <c r="E113" s="83"/>
      <c r="F113" s="83"/>
      <c r="G113" s="83"/>
      <c r="H113" s="83"/>
      <c r="I113" s="83"/>
    </row>
    <row r="114" spans="1:9" x14ac:dyDescent="0.25">
      <c r="A114" s="83"/>
      <c r="B114" s="83"/>
      <c r="C114" s="83"/>
      <c r="D114" s="83"/>
      <c r="E114" s="83"/>
      <c r="F114" s="83"/>
      <c r="G114" s="83"/>
      <c r="H114" s="83"/>
      <c r="I114" s="83"/>
    </row>
    <row r="115" spans="1:9" x14ac:dyDescent="0.25">
      <c r="A115" s="83"/>
      <c r="B115" s="83"/>
      <c r="C115" s="83"/>
      <c r="D115" s="83"/>
      <c r="E115" s="83"/>
      <c r="F115" s="83"/>
      <c r="G115" s="83"/>
      <c r="H115" s="83"/>
      <c r="I115" s="83"/>
    </row>
    <row r="116" spans="1:9" x14ac:dyDescent="0.25">
      <c r="A116" s="83"/>
      <c r="B116" s="83"/>
      <c r="C116" s="83"/>
      <c r="D116" s="83"/>
      <c r="E116" s="83"/>
      <c r="F116" s="83"/>
      <c r="G116" s="83"/>
      <c r="H116" s="83"/>
      <c r="I116" s="83"/>
    </row>
    <row r="117" spans="1:9" x14ac:dyDescent="0.25">
      <c r="A117" s="83"/>
      <c r="B117" s="83"/>
      <c r="C117" s="83"/>
      <c r="D117" s="83"/>
      <c r="E117" s="83"/>
      <c r="F117" s="83"/>
      <c r="G117" s="83"/>
      <c r="H117" s="83"/>
      <c r="I117" s="83"/>
    </row>
    <row r="118" spans="1:9" x14ac:dyDescent="0.25">
      <c r="E118" s="73">
        <f>I73</f>
        <v>37799917.578110971</v>
      </c>
      <c r="I118" s="73">
        <f>SUM(A118:H118)</f>
        <v>37799917.578110971</v>
      </c>
    </row>
    <row r="120" spans="1:9" x14ac:dyDescent="0.25">
      <c r="A120" s="74">
        <f>SUM(A95:A119)</f>
        <v>3779991.757811097</v>
      </c>
      <c r="E120" s="74"/>
      <c r="I120" s="73">
        <f>SUM(E120)</f>
        <v>0</v>
      </c>
    </row>
    <row r="121" spans="1:9" x14ac:dyDescent="0.25">
      <c r="A121" s="74">
        <f>SUM(A95:A120)</f>
        <v>7559983.5156221939</v>
      </c>
      <c r="E121" s="74"/>
      <c r="I121" s="73">
        <f>SUM(E121)</f>
        <v>0</v>
      </c>
    </row>
    <row r="129" spans="1:21" s="75" customFormat="1" x14ac:dyDescent="0.25">
      <c r="A129" s="74"/>
      <c r="B129" s="1"/>
      <c r="C129" s="1"/>
      <c r="D129" s="1"/>
      <c r="E129" s="74"/>
      <c r="G129" s="1"/>
      <c r="H129" s="1"/>
      <c r="I129" s="7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s="75" customFormat="1" x14ac:dyDescent="0.25">
      <c r="A130" s="74"/>
      <c r="B130" s="1"/>
      <c r="C130" s="1"/>
      <c r="D130" s="1"/>
      <c r="E130" s="73"/>
      <c r="G130" s="1"/>
      <c r="H130" s="1"/>
      <c r="I130" s="7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</sheetData>
  <mergeCells count="108">
    <mergeCell ref="A1:I1"/>
    <mergeCell ref="A2:I2"/>
    <mergeCell ref="A3:I3"/>
    <mergeCell ref="A4:B4"/>
    <mergeCell ref="F4:I9"/>
    <mergeCell ref="A5:B5"/>
    <mergeCell ref="A6:B6"/>
    <mergeCell ref="A7:B7"/>
    <mergeCell ref="A8:B8"/>
    <mergeCell ref="A9:B9"/>
    <mergeCell ref="B16:E16"/>
    <mergeCell ref="B17:E17"/>
    <mergeCell ref="B18:E18"/>
    <mergeCell ref="B19:E19"/>
    <mergeCell ref="B20:E20"/>
    <mergeCell ref="B21:E21"/>
    <mergeCell ref="B10:E10"/>
    <mergeCell ref="B11:E11"/>
    <mergeCell ref="B12:E12"/>
    <mergeCell ref="B13:E13"/>
    <mergeCell ref="B14:E14"/>
    <mergeCell ref="B15:E15"/>
    <mergeCell ref="B28:E28"/>
    <mergeCell ref="B29:E29"/>
    <mergeCell ref="B30:E30"/>
    <mergeCell ref="B31:E31"/>
    <mergeCell ref="B32:H32"/>
    <mergeCell ref="B33:E33"/>
    <mergeCell ref="B22:E22"/>
    <mergeCell ref="B23:E23"/>
    <mergeCell ref="B24:E24"/>
    <mergeCell ref="B25:E25"/>
    <mergeCell ref="B26:E26"/>
    <mergeCell ref="B27:E27"/>
    <mergeCell ref="B40:E40"/>
    <mergeCell ref="F40:H40"/>
    <mergeCell ref="B41:E41"/>
    <mergeCell ref="F41:H41"/>
    <mergeCell ref="B42:E42"/>
    <mergeCell ref="F42:H42"/>
    <mergeCell ref="B34:E34"/>
    <mergeCell ref="B35:E35"/>
    <mergeCell ref="B36:E36"/>
    <mergeCell ref="B37:E37"/>
    <mergeCell ref="B38:E38"/>
    <mergeCell ref="B39:E39"/>
    <mergeCell ref="B46:E46"/>
    <mergeCell ref="F46:H46"/>
    <mergeCell ref="B47:E47"/>
    <mergeCell ref="F47:H47"/>
    <mergeCell ref="B48:E48"/>
    <mergeCell ref="F48:H48"/>
    <mergeCell ref="B43:E43"/>
    <mergeCell ref="F43:H43"/>
    <mergeCell ref="B44:E44"/>
    <mergeCell ref="F44:H44"/>
    <mergeCell ref="B45:E45"/>
    <mergeCell ref="F45:H45"/>
    <mergeCell ref="B52:E52"/>
    <mergeCell ref="F52:H52"/>
    <mergeCell ref="B53:E53"/>
    <mergeCell ref="F53:H53"/>
    <mergeCell ref="B54:E54"/>
    <mergeCell ref="F54:H54"/>
    <mergeCell ref="B49:E49"/>
    <mergeCell ref="F49:H49"/>
    <mergeCell ref="B50:E50"/>
    <mergeCell ref="F50:H50"/>
    <mergeCell ref="B51:E51"/>
    <mergeCell ref="F51:H51"/>
    <mergeCell ref="B58:E58"/>
    <mergeCell ref="F58:H58"/>
    <mergeCell ref="B59:H59"/>
    <mergeCell ref="B60:E60"/>
    <mergeCell ref="F60:H60"/>
    <mergeCell ref="B61:H61"/>
    <mergeCell ref="B55:E55"/>
    <mergeCell ref="F55:H55"/>
    <mergeCell ref="B56:E56"/>
    <mergeCell ref="F56:H56"/>
    <mergeCell ref="B57:E57"/>
    <mergeCell ref="F57:H57"/>
    <mergeCell ref="B65:E65"/>
    <mergeCell ref="F65:H65"/>
    <mergeCell ref="B66:H66"/>
    <mergeCell ref="B67:E67"/>
    <mergeCell ref="F67:H67"/>
    <mergeCell ref="B68:E68"/>
    <mergeCell ref="F68:H68"/>
    <mergeCell ref="B62:E62"/>
    <mergeCell ref="F62:H62"/>
    <mergeCell ref="B63:E63"/>
    <mergeCell ref="F63:H63"/>
    <mergeCell ref="B64:E64"/>
    <mergeCell ref="F64:H64"/>
    <mergeCell ref="A95:I117"/>
    <mergeCell ref="B72:E72"/>
    <mergeCell ref="F72:H72"/>
    <mergeCell ref="B73:H73"/>
    <mergeCell ref="A74:E74"/>
    <mergeCell ref="B75:E75"/>
    <mergeCell ref="B76:E76"/>
    <mergeCell ref="B69:E69"/>
    <mergeCell ref="F69:H69"/>
    <mergeCell ref="B70:E70"/>
    <mergeCell ref="F70:H70"/>
    <mergeCell ref="B71:E71"/>
    <mergeCell ref="F71:H71"/>
  </mergeCells>
  <pageMargins left="0.84" right="0.31496062992126" top="0.73" bottom="0.5" header="0.27559055118110198" footer="0.25"/>
  <pageSetup paperSize="9" scale="62" fitToHeight="0" orientation="portrait" r:id="rId1"/>
  <headerFooter alignWithMargins="0">
    <oddHeader xml:space="preserve">&amp;C&amp;P&amp;R 
</oddHeader>
    <oddFooter>&amp;L&amp;6&amp;Z&amp;F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Detailed</vt:lpstr>
      <vt:lpstr>Redhills</vt:lpstr>
      <vt:lpstr>Detailed!Print_Area</vt:lpstr>
      <vt:lpstr>Redhills!Print_Area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CEDB3</dc:creator>
  <cp:lastModifiedBy>aeplg</cp:lastModifiedBy>
  <cp:lastPrinted>2021-09-23T05:42:08Z</cp:lastPrinted>
  <dcterms:created xsi:type="dcterms:W3CDTF">2021-09-14T07:38:36Z</dcterms:created>
  <dcterms:modified xsi:type="dcterms:W3CDTF">2023-02-06T08:34:51Z</dcterms:modified>
</cp:coreProperties>
</file>